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l-fs\cbracco$\Board\Board Meetings 2025\4 - Board meeting 2025May19\"/>
    </mc:Choice>
  </mc:AlternateContent>
  <xr:revisionPtr revIDLastSave="0" documentId="8_{2D5D0148-772E-4D8C-9616-2CF431C43897}" xr6:coauthVersionLast="36" xr6:coauthVersionMax="36" xr10:uidLastSave="{00000000-0000-0000-0000-000000000000}"/>
  <bookViews>
    <workbookView xWindow="0" yWindow="0" windowWidth="21600" windowHeight="9120" xr2:uid="{2A9A5439-EE82-4385-A2D9-F6A26D44C7C7}"/>
  </bookViews>
  <sheets>
    <sheet name="Summary" sheetId="1" r:id="rId1"/>
    <sheet name="Statement of Activity" sheetId="2" r:id="rId2"/>
    <sheet name="Prior Year" sheetId="3" r:id="rId3"/>
    <sheet name="Cash Flow" sheetId="4" r:id="rId4"/>
    <sheet name="Statement of Financial Position" sheetId="5" r:id="rId5"/>
    <sheet name="Budget" sheetId="6" r:id="rId6"/>
  </sheets>
  <definedNames>
    <definedName name="_xlnm.Print_Area" localSheetId="5">Budget!$A$1:$E$280</definedName>
    <definedName name="_xlnm.Print_Area" localSheetId="0">Summary!$A$1:$H$73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6" i="5" l="1"/>
  <c r="B105" i="5"/>
  <c r="B104" i="5"/>
  <c r="B107" i="5" s="1"/>
  <c r="B100" i="5"/>
  <c r="B101" i="5" s="1"/>
  <c r="B99" i="5"/>
  <c r="B98" i="5"/>
  <c r="B97" i="5"/>
  <c r="B96" i="5"/>
  <c r="B92" i="5"/>
  <c r="B91" i="5"/>
  <c r="B90" i="5"/>
  <c r="B88" i="5"/>
  <c r="B87" i="5"/>
  <c r="B86" i="5"/>
  <c r="B85" i="5"/>
  <c r="B84" i="5"/>
  <c r="B83" i="5"/>
  <c r="B89" i="5" s="1"/>
  <c r="B93" i="5" s="1"/>
  <c r="B82" i="5"/>
  <c r="B79" i="5"/>
  <c r="B80" i="5" s="1"/>
  <c r="B94" i="5" s="1"/>
  <c r="B72" i="5"/>
  <c r="B71" i="5"/>
  <c r="B73" i="5" s="1"/>
  <c r="B67" i="5"/>
  <c r="B66" i="5"/>
  <c r="B65" i="5"/>
  <c r="B64" i="5"/>
  <c r="B68" i="5" s="1"/>
  <c r="B61" i="5"/>
  <c r="B60" i="5"/>
  <c r="B62" i="5" s="1"/>
  <c r="B69" i="5" s="1"/>
  <c r="B59" i="5"/>
  <c r="B58" i="5"/>
  <c r="B53" i="5"/>
  <c r="B52" i="5"/>
  <c r="B51" i="5"/>
  <c r="B50" i="5"/>
  <c r="B49" i="5"/>
  <c r="B48" i="5"/>
  <c r="B47" i="5"/>
  <c r="B46" i="5"/>
  <c r="B45" i="5"/>
  <c r="B54" i="5" s="1"/>
  <c r="B41" i="5"/>
  <c r="B39" i="5"/>
  <c r="B38" i="5"/>
  <c r="B37" i="5"/>
  <c r="B40" i="5" s="1"/>
  <c r="B34" i="5"/>
  <c r="B33" i="5"/>
  <c r="B32" i="5"/>
  <c r="B31" i="5"/>
  <c r="B30" i="5"/>
  <c r="B29" i="5"/>
  <c r="B28" i="5"/>
  <c r="B27" i="5"/>
  <c r="B26" i="5"/>
  <c r="B25" i="5"/>
  <c r="B24" i="5"/>
  <c r="B35" i="5" s="1"/>
  <c r="B22" i="5"/>
  <c r="B21" i="5"/>
  <c r="B19" i="5"/>
  <c r="B18" i="5"/>
  <c r="B17" i="5"/>
  <c r="B20" i="5" s="1"/>
  <c r="B14" i="5"/>
  <c r="B15" i="5" s="1"/>
  <c r="B42" i="5" s="1"/>
  <c r="B43" i="5" s="1"/>
  <c r="B55" i="5" s="1"/>
  <c r="B74" i="5" s="1"/>
  <c r="B13" i="5"/>
  <c r="B12" i="5"/>
  <c r="B11" i="5"/>
  <c r="B102" i="5" l="1"/>
  <c r="B108" i="5" s="1"/>
  <c r="B19" i="4"/>
  <c r="B16" i="4"/>
  <c r="B15" i="4"/>
  <c r="B17" i="4" s="1"/>
  <c r="B12" i="4"/>
  <c r="B13" i="4" s="1"/>
  <c r="B18" i="4" s="1"/>
  <c r="B20" i="4" s="1"/>
  <c r="B11" i="4"/>
  <c r="B10" i="4"/>
  <c r="B9" i="4"/>
  <c r="B7" i="4"/>
  <c r="B57" i="1"/>
  <c r="D34" i="1" l="1"/>
  <c r="B34" i="1"/>
  <c r="D48" i="1"/>
  <c r="B48" i="1"/>
  <c r="B45" i="1"/>
  <c r="D45" i="1"/>
  <c r="D44" i="1"/>
  <c r="B44" i="1"/>
  <c r="B43" i="1"/>
  <c r="D43" i="1"/>
  <c r="D42" i="1"/>
  <c r="B42" i="1"/>
  <c r="B41" i="1"/>
  <c r="D41" i="1"/>
  <c r="D40" i="1"/>
  <c r="B40" i="1"/>
  <c r="B39" i="1"/>
  <c r="D39" i="1"/>
  <c r="D38" i="1"/>
  <c r="B38" i="1"/>
  <c r="B37" i="1"/>
  <c r="D37" i="1"/>
  <c r="D36" i="1"/>
  <c r="B36" i="1"/>
  <c r="D35" i="1"/>
  <c r="B35" i="1"/>
  <c r="D29" i="1"/>
  <c r="D28" i="1"/>
  <c r="D27" i="1"/>
  <c r="B29" i="1"/>
  <c r="B28" i="1"/>
  <c r="B27" i="1"/>
  <c r="D26" i="1"/>
  <c r="D25" i="1"/>
  <c r="B26" i="1"/>
  <c r="B25" i="1"/>
  <c r="F252" i="2"/>
  <c r="E252" i="2"/>
  <c r="D252" i="2"/>
  <c r="F250" i="2"/>
  <c r="E250" i="2"/>
  <c r="D250" i="2"/>
  <c r="C250" i="2"/>
  <c r="B250" i="2"/>
  <c r="E249" i="2"/>
  <c r="D249" i="2"/>
  <c r="C249" i="2"/>
  <c r="C251" i="2" s="1"/>
  <c r="C253" i="2" s="1"/>
  <c r="C254" i="2" s="1"/>
  <c r="B249" i="2"/>
  <c r="F249" i="2" s="1"/>
  <c r="E248" i="2"/>
  <c r="E251" i="2" s="1"/>
  <c r="E253" i="2" s="1"/>
  <c r="E254" i="2" s="1"/>
  <c r="D248" i="2"/>
  <c r="C248" i="2"/>
  <c r="B248" i="2"/>
  <c r="F248" i="2" s="1"/>
  <c r="D247" i="2"/>
  <c r="D251" i="2" s="1"/>
  <c r="D253" i="2" s="1"/>
  <c r="D254" i="2" s="1"/>
  <c r="F246" i="2"/>
  <c r="E241" i="2"/>
  <c r="C241" i="2"/>
  <c r="E240" i="2"/>
  <c r="D240" i="2"/>
  <c r="D241" i="2" s="1"/>
  <c r="B240" i="2"/>
  <c r="B241" i="2" s="1"/>
  <c r="F241" i="2" s="1"/>
  <c r="F239" i="2"/>
  <c r="F237" i="2"/>
  <c r="D237" i="2"/>
  <c r="C237" i="2"/>
  <c r="B237" i="2"/>
  <c r="E236" i="2"/>
  <c r="D236" i="2"/>
  <c r="F236" i="2" s="1"/>
  <c r="C236" i="2"/>
  <c r="F235" i="2"/>
  <c r="E235" i="2"/>
  <c r="D235" i="2"/>
  <c r="C235" i="2"/>
  <c r="B235" i="2"/>
  <c r="E234" i="2"/>
  <c r="D234" i="2"/>
  <c r="C234" i="2"/>
  <c r="B234" i="2"/>
  <c r="F234" i="2" s="1"/>
  <c r="E233" i="2"/>
  <c r="D233" i="2"/>
  <c r="C233" i="2"/>
  <c r="B233" i="2"/>
  <c r="F233" i="2" s="1"/>
  <c r="E232" i="2"/>
  <c r="D232" i="2"/>
  <c r="C232" i="2"/>
  <c r="C238" i="2" s="1"/>
  <c r="B232" i="2"/>
  <c r="F232" i="2" s="1"/>
  <c r="E231" i="2"/>
  <c r="D231" i="2"/>
  <c r="C231" i="2"/>
  <c r="B231" i="2"/>
  <c r="F231" i="2" s="1"/>
  <c r="E230" i="2"/>
  <c r="F230" i="2" s="1"/>
  <c r="D230" i="2"/>
  <c r="D238" i="2" s="1"/>
  <c r="C230" i="2"/>
  <c r="B230" i="2"/>
  <c r="B238" i="2" s="1"/>
  <c r="F229" i="2"/>
  <c r="E229" i="2"/>
  <c r="F228" i="2"/>
  <c r="E226" i="2"/>
  <c r="D226" i="2"/>
  <c r="F226" i="2" s="1"/>
  <c r="C226" i="2"/>
  <c r="B226" i="2"/>
  <c r="C225" i="2"/>
  <c r="C227" i="2" s="1"/>
  <c r="F224" i="2"/>
  <c r="E224" i="2"/>
  <c r="E225" i="2" s="1"/>
  <c r="E227" i="2" s="1"/>
  <c r="D224" i="2"/>
  <c r="D225" i="2" s="1"/>
  <c r="D227" i="2" s="1"/>
  <c r="C224" i="2"/>
  <c r="B224" i="2"/>
  <c r="B225" i="2" s="1"/>
  <c r="F223" i="2"/>
  <c r="F222" i="2"/>
  <c r="E222" i="2"/>
  <c r="F221" i="2"/>
  <c r="E220" i="2"/>
  <c r="E219" i="2"/>
  <c r="D219" i="2"/>
  <c r="D220" i="2" s="1"/>
  <c r="C219" i="2"/>
  <c r="B219" i="2"/>
  <c r="B220" i="2" s="1"/>
  <c r="E218" i="2"/>
  <c r="D218" i="2"/>
  <c r="C218" i="2"/>
  <c r="F218" i="2" s="1"/>
  <c r="B218" i="2"/>
  <c r="F217" i="2"/>
  <c r="E216" i="2"/>
  <c r="B216" i="2"/>
  <c r="F215" i="2"/>
  <c r="C215" i="2"/>
  <c r="F214" i="2"/>
  <c r="E214" i="2"/>
  <c r="D214" i="2"/>
  <c r="D216" i="2" s="1"/>
  <c r="C214" i="2"/>
  <c r="C216" i="2" s="1"/>
  <c r="F216" i="2" s="1"/>
  <c r="B214" i="2"/>
  <c r="F213" i="2"/>
  <c r="E212" i="2"/>
  <c r="D212" i="2"/>
  <c r="F212" i="2" s="1"/>
  <c r="C212" i="2"/>
  <c r="B212" i="2"/>
  <c r="F210" i="2"/>
  <c r="E210" i="2"/>
  <c r="D210" i="2"/>
  <c r="D211" i="2" s="1"/>
  <c r="C210" i="2"/>
  <c r="B210" i="2"/>
  <c r="E209" i="2"/>
  <c r="D209" i="2"/>
  <c r="C209" i="2"/>
  <c r="C211" i="2" s="1"/>
  <c r="B209" i="2"/>
  <c r="F209" i="2" s="1"/>
  <c r="E208" i="2"/>
  <c r="E211" i="2" s="1"/>
  <c r="D208" i="2"/>
  <c r="C208" i="2"/>
  <c r="B208" i="2"/>
  <c r="F208" i="2" s="1"/>
  <c r="F207" i="2"/>
  <c r="D206" i="2"/>
  <c r="E205" i="2"/>
  <c r="D205" i="2"/>
  <c r="C205" i="2"/>
  <c r="B205" i="2"/>
  <c r="F205" i="2" s="1"/>
  <c r="E204" i="2"/>
  <c r="D204" i="2"/>
  <c r="C204" i="2"/>
  <c r="B204" i="2"/>
  <c r="F204" i="2" s="1"/>
  <c r="E203" i="2"/>
  <c r="E206" i="2" s="1"/>
  <c r="D203" i="2"/>
  <c r="C203" i="2"/>
  <c r="C206" i="2" s="1"/>
  <c r="B203" i="2"/>
  <c r="B206" i="2" s="1"/>
  <c r="F202" i="2"/>
  <c r="E200" i="2"/>
  <c r="D200" i="2"/>
  <c r="C200" i="2"/>
  <c r="B200" i="2"/>
  <c r="F200" i="2" s="1"/>
  <c r="C199" i="2"/>
  <c r="F199" i="2" s="1"/>
  <c r="E198" i="2"/>
  <c r="F198" i="2" s="1"/>
  <c r="D198" i="2"/>
  <c r="C198" i="2"/>
  <c r="B198" i="2"/>
  <c r="E197" i="2"/>
  <c r="D197" i="2"/>
  <c r="F197" i="2" s="1"/>
  <c r="C197" i="2"/>
  <c r="B197" i="2"/>
  <c r="F196" i="2"/>
  <c r="B196" i="2"/>
  <c r="E195" i="2"/>
  <c r="E201" i="2" s="1"/>
  <c r="D195" i="2"/>
  <c r="D201" i="2" s="1"/>
  <c r="C195" i="2"/>
  <c r="C201" i="2" s="1"/>
  <c r="B195" i="2"/>
  <c r="B201" i="2" s="1"/>
  <c r="F201" i="2" s="1"/>
  <c r="F194" i="2"/>
  <c r="C193" i="2"/>
  <c r="F192" i="2"/>
  <c r="B192" i="2"/>
  <c r="F191" i="2"/>
  <c r="E191" i="2"/>
  <c r="E190" i="2"/>
  <c r="E193" i="2" s="1"/>
  <c r="D190" i="2"/>
  <c r="D193" i="2" s="1"/>
  <c r="C190" i="2"/>
  <c r="B190" i="2"/>
  <c r="F190" i="2" s="1"/>
  <c r="F189" i="2"/>
  <c r="E187" i="2"/>
  <c r="D187" i="2"/>
  <c r="C187" i="2"/>
  <c r="B187" i="2"/>
  <c r="F187" i="2" s="1"/>
  <c r="E186" i="2"/>
  <c r="D186" i="2"/>
  <c r="C186" i="2"/>
  <c r="B186" i="2"/>
  <c r="F186" i="2" s="1"/>
  <c r="E185" i="2"/>
  <c r="F185" i="2" s="1"/>
  <c r="D185" i="2"/>
  <c r="C185" i="2"/>
  <c r="B185" i="2"/>
  <c r="E183" i="2"/>
  <c r="D183" i="2"/>
  <c r="C183" i="2"/>
  <c r="F183" i="2" s="1"/>
  <c r="B183" i="2"/>
  <c r="F182" i="2"/>
  <c r="E182" i="2"/>
  <c r="D182" i="2"/>
  <c r="C182" i="2"/>
  <c r="B182" i="2"/>
  <c r="E181" i="2"/>
  <c r="D181" i="2"/>
  <c r="C181" i="2"/>
  <c r="B181" i="2"/>
  <c r="F181" i="2" s="1"/>
  <c r="E180" i="2"/>
  <c r="D180" i="2"/>
  <c r="C180" i="2"/>
  <c r="B180" i="2"/>
  <c r="F180" i="2" s="1"/>
  <c r="E179" i="2"/>
  <c r="D179" i="2"/>
  <c r="C179" i="2"/>
  <c r="B179" i="2"/>
  <c r="F179" i="2" s="1"/>
  <c r="E178" i="2"/>
  <c r="C178" i="2"/>
  <c r="B178" i="2"/>
  <c r="F178" i="2" s="1"/>
  <c r="F177" i="2"/>
  <c r="E177" i="2"/>
  <c r="D177" i="2"/>
  <c r="C177" i="2"/>
  <c r="B177" i="2"/>
  <c r="E176" i="2"/>
  <c r="D176" i="2"/>
  <c r="B176" i="2"/>
  <c r="F176" i="2" s="1"/>
  <c r="E175" i="2"/>
  <c r="F175" i="2" s="1"/>
  <c r="D175" i="2"/>
  <c r="C175" i="2"/>
  <c r="B175" i="2"/>
  <c r="E174" i="2"/>
  <c r="E184" i="2" s="1"/>
  <c r="D174" i="2"/>
  <c r="F174" i="2" s="1"/>
  <c r="C174" i="2"/>
  <c r="C184" i="2" s="1"/>
  <c r="B174" i="2"/>
  <c r="B184" i="2" s="1"/>
  <c r="F173" i="2"/>
  <c r="E171" i="2"/>
  <c r="F171" i="2" s="1"/>
  <c r="D171" i="2"/>
  <c r="C171" i="2"/>
  <c r="B171" i="2"/>
  <c r="E170" i="2"/>
  <c r="D170" i="2"/>
  <c r="F170" i="2" s="1"/>
  <c r="C170" i="2"/>
  <c r="F169" i="2"/>
  <c r="E169" i="2"/>
  <c r="B169" i="2"/>
  <c r="E168" i="2"/>
  <c r="D168" i="2"/>
  <c r="B168" i="2"/>
  <c r="B172" i="2" s="1"/>
  <c r="E167" i="2"/>
  <c r="F167" i="2" s="1"/>
  <c r="D167" i="2"/>
  <c r="C167" i="2"/>
  <c r="B167" i="2"/>
  <c r="E166" i="2"/>
  <c r="D166" i="2"/>
  <c r="D172" i="2" s="1"/>
  <c r="C166" i="2"/>
  <c r="C172" i="2" s="1"/>
  <c r="B166" i="2"/>
  <c r="F165" i="2"/>
  <c r="B164" i="2"/>
  <c r="E163" i="2"/>
  <c r="F163" i="2" s="1"/>
  <c r="D163" i="2"/>
  <c r="C163" i="2"/>
  <c r="E162" i="2"/>
  <c r="C162" i="2"/>
  <c r="B162" i="2"/>
  <c r="F162" i="2" s="1"/>
  <c r="E161" i="2"/>
  <c r="F161" i="2" s="1"/>
  <c r="D161" i="2"/>
  <c r="C161" i="2"/>
  <c r="B161" i="2"/>
  <c r="E160" i="2"/>
  <c r="D160" i="2"/>
  <c r="D164" i="2" s="1"/>
  <c r="C160" i="2"/>
  <c r="C164" i="2" s="1"/>
  <c r="F159" i="2"/>
  <c r="C158" i="2"/>
  <c r="F157" i="2"/>
  <c r="E157" i="2"/>
  <c r="C157" i="2"/>
  <c r="B157" i="2"/>
  <c r="E156" i="2"/>
  <c r="E158" i="2" s="1"/>
  <c r="D156" i="2"/>
  <c r="D158" i="2" s="1"/>
  <c r="C156" i="2"/>
  <c r="B156" i="2"/>
  <c r="F156" i="2" s="1"/>
  <c r="F155" i="2"/>
  <c r="E154" i="2"/>
  <c r="D154" i="2"/>
  <c r="C154" i="2"/>
  <c r="B154" i="2"/>
  <c r="F154" i="2" s="1"/>
  <c r="E153" i="2"/>
  <c r="D153" i="2"/>
  <c r="C153" i="2"/>
  <c r="B153" i="2"/>
  <c r="F153" i="2" s="1"/>
  <c r="E152" i="2"/>
  <c r="D152" i="2"/>
  <c r="C152" i="2"/>
  <c r="B152" i="2"/>
  <c r="F152" i="2" s="1"/>
  <c r="E151" i="2"/>
  <c r="F151" i="2" s="1"/>
  <c r="D151" i="2"/>
  <c r="C151" i="2"/>
  <c r="C188" i="2" s="1"/>
  <c r="B151" i="2"/>
  <c r="F150" i="2"/>
  <c r="F149" i="2"/>
  <c r="E147" i="2"/>
  <c r="C147" i="2"/>
  <c r="F146" i="2"/>
  <c r="E146" i="2"/>
  <c r="D146" i="2"/>
  <c r="C146" i="2"/>
  <c r="E145" i="2"/>
  <c r="D145" i="2"/>
  <c r="F145" i="2" s="1"/>
  <c r="C145" i="2"/>
  <c r="F144" i="2"/>
  <c r="E144" i="2"/>
  <c r="E143" i="2"/>
  <c r="D143" i="2"/>
  <c r="D147" i="2" s="1"/>
  <c r="C143" i="2"/>
  <c r="B143" i="2"/>
  <c r="B147" i="2" s="1"/>
  <c r="F147" i="2" s="1"/>
  <c r="F142" i="2"/>
  <c r="B141" i="2"/>
  <c r="E140" i="2"/>
  <c r="E141" i="2" s="1"/>
  <c r="D140" i="2"/>
  <c r="D141" i="2" s="1"/>
  <c r="C140" i="2"/>
  <c r="C141" i="2" s="1"/>
  <c r="B140" i="2"/>
  <c r="F140" i="2" s="1"/>
  <c r="F139" i="2"/>
  <c r="E137" i="2"/>
  <c r="D137" i="2"/>
  <c r="C137" i="2"/>
  <c r="B137" i="2"/>
  <c r="F137" i="2" s="1"/>
  <c r="E136" i="2"/>
  <c r="D136" i="2"/>
  <c r="C136" i="2"/>
  <c r="B136" i="2"/>
  <c r="F136" i="2" s="1"/>
  <c r="B135" i="2"/>
  <c r="F135" i="2" s="1"/>
  <c r="E134" i="2"/>
  <c r="D134" i="2"/>
  <c r="F134" i="2" s="1"/>
  <c r="C134" i="2"/>
  <c r="B134" i="2"/>
  <c r="E133" i="2"/>
  <c r="D133" i="2"/>
  <c r="C133" i="2"/>
  <c r="F133" i="2" s="1"/>
  <c r="B133" i="2"/>
  <c r="F132" i="2"/>
  <c r="E132" i="2"/>
  <c r="D132" i="2"/>
  <c r="C132" i="2"/>
  <c r="B132" i="2"/>
  <c r="E131" i="2"/>
  <c r="E138" i="2" s="1"/>
  <c r="D131" i="2"/>
  <c r="C131" i="2"/>
  <c r="C138" i="2" s="1"/>
  <c r="B131" i="2"/>
  <c r="F131" i="2" s="1"/>
  <c r="E130" i="2"/>
  <c r="D130" i="2"/>
  <c r="D138" i="2" s="1"/>
  <c r="C130" i="2"/>
  <c r="B130" i="2"/>
  <c r="B138" i="2" s="1"/>
  <c r="F129" i="2"/>
  <c r="D128" i="2"/>
  <c r="E127" i="2"/>
  <c r="E128" i="2" s="1"/>
  <c r="D127" i="2"/>
  <c r="C127" i="2"/>
  <c r="C128" i="2" s="1"/>
  <c r="B127" i="2"/>
  <c r="B128" i="2" s="1"/>
  <c r="F126" i="2"/>
  <c r="F124" i="2"/>
  <c r="E124" i="2"/>
  <c r="F123" i="2"/>
  <c r="E123" i="2"/>
  <c r="D123" i="2"/>
  <c r="E122" i="2"/>
  <c r="D122" i="2"/>
  <c r="C122" i="2"/>
  <c r="B122" i="2"/>
  <c r="F122" i="2" s="1"/>
  <c r="E121" i="2"/>
  <c r="D121" i="2"/>
  <c r="C121" i="2"/>
  <c r="B121" i="2"/>
  <c r="F121" i="2" s="1"/>
  <c r="E120" i="2"/>
  <c r="D120" i="2"/>
  <c r="C120" i="2"/>
  <c r="B120" i="2"/>
  <c r="F120" i="2" s="1"/>
  <c r="E119" i="2"/>
  <c r="D119" i="2"/>
  <c r="C119" i="2"/>
  <c r="B119" i="2"/>
  <c r="F119" i="2" s="1"/>
  <c r="E118" i="2"/>
  <c r="F118" i="2" s="1"/>
  <c r="D118" i="2"/>
  <c r="C118" i="2"/>
  <c r="B118" i="2"/>
  <c r="E117" i="2"/>
  <c r="D117" i="2"/>
  <c r="F117" i="2" s="1"/>
  <c r="C117" i="2"/>
  <c r="B117" i="2"/>
  <c r="E116" i="2"/>
  <c r="D116" i="2"/>
  <c r="C116" i="2"/>
  <c r="F116" i="2" s="1"/>
  <c r="B116" i="2"/>
  <c r="F115" i="2"/>
  <c r="E115" i="2"/>
  <c r="D115" i="2"/>
  <c r="C115" i="2"/>
  <c r="B115" i="2"/>
  <c r="E114" i="2"/>
  <c r="D114" i="2"/>
  <c r="C114" i="2"/>
  <c r="B114" i="2"/>
  <c r="F114" i="2" s="1"/>
  <c r="E113" i="2"/>
  <c r="D113" i="2"/>
  <c r="C113" i="2"/>
  <c r="B113" i="2"/>
  <c r="F113" i="2" s="1"/>
  <c r="E112" i="2"/>
  <c r="D112" i="2"/>
  <c r="C112" i="2"/>
  <c r="B112" i="2"/>
  <c r="F112" i="2" s="1"/>
  <c r="E111" i="2"/>
  <c r="D111" i="2"/>
  <c r="C111" i="2"/>
  <c r="B111" i="2"/>
  <c r="F111" i="2" s="1"/>
  <c r="E110" i="2"/>
  <c r="F110" i="2" s="1"/>
  <c r="D110" i="2"/>
  <c r="C110" i="2"/>
  <c r="B110" i="2"/>
  <c r="E109" i="2"/>
  <c r="D109" i="2"/>
  <c r="F109" i="2" s="1"/>
  <c r="C109" i="2"/>
  <c r="B109" i="2"/>
  <c r="E108" i="2"/>
  <c r="D108" i="2"/>
  <c r="C108" i="2"/>
  <c r="F108" i="2" s="1"/>
  <c r="B108" i="2"/>
  <c r="F107" i="2"/>
  <c r="E107" i="2"/>
  <c r="D107" i="2"/>
  <c r="C107" i="2"/>
  <c r="B107" i="2"/>
  <c r="E106" i="2"/>
  <c r="D106" i="2"/>
  <c r="C106" i="2"/>
  <c r="B106" i="2"/>
  <c r="F106" i="2" s="1"/>
  <c r="E105" i="2"/>
  <c r="D105" i="2"/>
  <c r="C105" i="2"/>
  <c r="B105" i="2"/>
  <c r="F105" i="2" s="1"/>
  <c r="E104" i="2"/>
  <c r="D104" i="2"/>
  <c r="C104" i="2"/>
  <c r="B104" i="2"/>
  <c r="F104" i="2" s="1"/>
  <c r="E103" i="2"/>
  <c r="D103" i="2"/>
  <c r="C103" i="2"/>
  <c r="B103" i="2"/>
  <c r="F103" i="2" s="1"/>
  <c r="F102" i="2"/>
  <c r="D102" i="2"/>
  <c r="E101" i="2"/>
  <c r="D101" i="2"/>
  <c r="C101" i="2"/>
  <c r="F101" i="2" s="1"/>
  <c r="B101" i="2"/>
  <c r="F100" i="2"/>
  <c r="E100" i="2"/>
  <c r="D100" i="2"/>
  <c r="C100" i="2"/>
  <c r="B100" i="2"/>
  <c r="E99" i="2"/>
  <c r="D99" i="2"/>
  <c r="C99" i="2"/>
  <c r="B99" i="2"/>
  <c r="F99" i="2" s="1"/>
  <c r="E98" i="2"/>
  <c r="D98" i="2"/>
  <c r="C98" i="2"/>
  <c r="B98" i="2"/>
  <c r="F98" i="2" s="1"/>
  <c r="E97" i="2"/>
  <c r="D97" i="2"/>
  <c r="C97" i="2"/>
  <c r="B97" i="2"/>
  <c r="F97" i="2" s="1"/>
  <c r="E96" i="2"/>
  <c r="D96" i="2"/>
  <c r="C96" i="2"/>
  <c r="B96" i="2"/>
  <c r="F96" i="2" s="1"/>
  <c r="F95" i="2"/>
  <c r="E95" i="2"/>
  <c r="D95" i="2"/>
  <c r="C95" i="2"/>
  <c r="B95" i="2"/>
  <c r="E94" i="2"/>
  <c r="D94" i="2"/>
  <c r="C94" i="2"/>
  <c r="F94" i="2" s="1"/>
  <c r="B94" i="2"/>
  <c r="E93" i="2"/>
  <c r="D93" i="2"/>
  <c r="C93" i="2"/>
  <c r="F93" i="2" s="1"/>
  <c r="B93" i="2"/>
  <c r="F92" i="2"/>
  <c r="E92" i="2"/>
  <c r="D92" i="2"/>
  <c r="C92" i="2"/>
  <c r="B92" i="2"/>
  <c r="E91" i="2"/>
  <c r="D91" i="2"/>
  <c r="C91" i="2"/>
  <c r="B91" i="2"/>
  <c r="F91" i="2" s="1"/>
  <c r="E90" i="2"/>
  <c r="D90" i="2"/>
  <c r="C90" i="2"/>
  <c r="B90" i="2"/>
  <c r="F90" i="2" s="1"/>
  <c r="E89" i="2"/>
  <c r="D89" i="2"/>
  <c r="C89" i="2"/>
  <c r="B89" i="2"/>
  <c r="F89" i="2" s="1"/>
  <c r="E88" i="2"/>
  <c r="D88" i="2"/>
  <c r="C88" i="2"/>
  <c r="B88" i="2"/>
  <c r="F88" i="2" s="1"/>
  <c r="F87" i="2"/>
  <c r="E87" i="2"/>
  <c r="D87" i="2"/>
  <c r="C87" i="2"/>
  <c r="B87" i="2"/>
  <c r="E86" i="2"/>
  <c r="D86" i="2"/>
  <c r="C86" i="2"/>
  <c r="F86" i="2" s="1"/>
  <c r="B86" i="2"/>
  <c r="E85" i="2"/>
  <c r="D85" i="2"/>
  <c r="C85" i="2"/>
  <c r="F85" i="2" s="1"/>
  <c r="B85" i="2"/>
  <c r="F84" i="2"/>
  <c r="E84" i="2"/>
  <c r="D84" i="2"/>
  <c r="C84" i="2"/>
  <c r="B84" i="2"/>
  <c r="E83" i="2"/>
  <c r="D83" i="2"/>
  <c r="C83" i="2"/>
  <c r="B83" i="2"/>
  <c r="F83" i="2" s="1"/>
  <c r="E82" i="2"/>
  <c r="D82" i="2"/>
  <c r="C82" i="2"/>
  <c r="B82" i="2"/>
  <c r="F82" i="2" s="1"/>
  <c r="E81" i="2"/>
  <c r="D81" i="2"/>
  <c r="C81" i="2"/>
  <c r="B81" i="2"/>
  <c r="F81" i="2" s="1"/>
  <c r="E80" i="2"/>
  <c r="D80" i="2"/>
  <c r="C80" i="2"/>
  <c r="B80" i="2"/>
  <c r="F80" i="2" s="1"/>
  <c r="F79" i="2"/>
  <c r="E79" i="2"/>
  <c r="D79" i="2"/>
  <c r="C79" i="2"/>
  <c r="B79" i="2"/>
  <c r="E78" i="2"/>
  <c r="D78" i="2"/>
  <c r="C78" i="2"/>
  <c r="F78" i="2" s="1"/>
  <c r="B78" i="2"/>
  <c r="E77" i="2"/>
  <c r="D77" i="2"/>
  <c r="C77" i="2"/>
  <c r="F77" i="2" s="1"/>
  <c r="B77" i="2"/>
  <c r="F76" i="2"/>
  <c r="E76" i="2"/>
  <c r="D76" i="2"/>
  <c r="C76" i="2"/>
  <c r="B76" i="2"/>
  <c r="E75" i="2"/>
  <c r="D75" i="2"/>
  <c r="C75" i="2"/>
  <c r="B75" i="2"/>
  <c r="F75" i="2" s="1"/>
  <c r="E74" i="2"/>
  <c r="D74" i="2"/>
  <c r="C74" i="2"/>
  <c r="B74" i="2"/>
  <c r="F74" i="2" s="1"/>
  <c r="E73" i="2"/>
  <c r="D73" i="2"/>
  <c r="C73" i="2"/>
  <c r="B73" i="2"/>
  <c r="F73" i="2" s="1"/>
  <c r="E72" i="2"/>
  <c r="D72" i="2"/>
  <c r="C72" i="2"/>
  <c r="B72" i="2"/>
  <c r="F72" i="2" s="1"/>
  <c r="F71" i="2"/>
  <c r="E71" i="2"/>
  <c r="D71" i="2"/>
  <c r="C71" i="2"/>
  <c r="B71" i="2"/>
  <c r="E70" i="2"/>
  <c r="D70" i="2"/>
  <c r="C70" i="2"/>
  <c r="F70" i="2" s="1"/>
  <c r="B70" i="2"/>
  <c r="E69" i="2"/>
  <c r="D69" i="2"/>
  <c r="C69" i="2"/>
  <c r="F69" i="2" s="1"/>
  <c r="B69" i="2"/>
  <c r="F68" i="2"/>
  <c r="E68" i="2"/>
  <c r="D68" i="2"/>
  <c r="C68" i="2"/>
  <c r="B68" i="2"/>
  <c r="C67" i="2"/>
  <c r="F67" i="2" s="1"/>
  <c r="B67" i="2"/>
  <c r="F66" i="2"/>
  <c r="E66" i="2"/>
  <c r="D66" i="2"/>
  <c r="C66" i="2"/>
  <c r="B66" i="2"/>
  <c r="E65" i="2"/>
  <c r="D65" i="2"/>
  <c r="C65" i="2"/>
  <c r="B65" i="2"/>
  <c r="F65" i="2" s="1"/>
  <c r="E64" i="2"/>
  <c r="D64" i="2"/>
  <c r="C64" i="2"/>
  <c r="B64" i="2"/>
  <c r="F64" i="2" s="1"/>
  <c r="E63" i="2"/>
  <c r="D63" i="2"/>
  <c r="C63" i="2"/>
  <c r="B63" i="2"/>
  <c r="F63" i="2" s="1"/>
  <c r="E62" i="2"/>
  <c r="D62" i="2"/>
  <c r="C62" i="2"/>
  <c r="B62" i="2"/>
  <c r="F62" i="2" s="1"/>
  <c r="F61" i="2"/>
  <c r="E61" i="2"/>
  <c r="D61" i="2"/>
  <c r="C61" i="2"/>
  <c r="B61" i="2"/>
  <c r="E60" i="2"/>
  <c r="D60" i="2"/>
  <c r="C60" i="2"/>
  <c r="F60" i="2" s="1"/>
  <c r="B60" i="2"/>
  <c r="E59" i="2"/>
  <c r="D59" i="2"/>
  <c r="C59" i="2"/>
  <c r="F59" i="2" s="1"/>
  <c r="B59" i="2"/>
  <c r="F58" i="2"/>
  <c r="E58" i="2"/>
  <c r="D58" i="2"/>
  <c r="C58" i="2"/>
  <c r="B58" i="2"/>
  <c r="E57" i="2"/>
  <c r="D57" i="2"/>
  <c r="C57" i="2"/>
  <c r="B57" i="2"/>
  <c r="F57" i="2" s="1"/>
  <c r="E56" i="2"/>
  <c r="D56" i="2"/>
  <c r="C56" i="2"/>
  <c r="B56" i="2"/>
  <c r="F56" i="2" s="1"/>
  <c r="E55" i="2"/>
  <c r="D55" i="2"/>
  <c r="C55" i="2"/>
  <c r="B55" i="2"/>
  <c r="F55" i="2" s="1"/>
  <c r="E54" i="2"/>
  <c r="D54" i="2"/>
  <c r="C54" i="2"/>
  <c r="B54" i="2"/>
  <c r="F54" i="2" s="1"/>
  <c r="F53" i="2"/>
  <c r="E53" i="2"/>
  <c r="D53" i="2"/>
  <c r="C53" i="2"/>
  <c r="B53" i="2"/>
  <c r="E52" i="2"/>
  <c r="E125" i="2" s="1"/>
  <c r="D52" i="2"/>
  <c r="D125" i="2" s="1"/>
  <c r="C52" i="2"/>
  <c r="C125" i="2" s="1"/>
  <c r="B52" i="2"/>
  <c r="B125" i="2" s="1"/>
  <c r="F51" i="2"/>
  <c r="F50" i="2"/>
  <c r="E46" i="2"/>
  <c r="D46" i="2"/>
  <c r="C46" i="2"/>
  <c r="E45" i="2"/>
  <c r="D45" i="2"/>
  <c r="C45" i="2"/>
  <c r="B45" i="2"/>
  <c r="B46" i="2" s="1"/>
  <c r="F46" i="2" s="1"/>
  <c r="F44" i="2"/>
  <c r="E42" i="2"/>
  <c r="D42" i="2"/>
  <c r="C42" i="2"/>
  <c r="B42" i="2"/>
  <c r="F42" i="2" s="1"/>
  <c r="E41" i="2"/>
  <c r="D41" i="2"/>
  <c r="F41" i="2" s="1"/>
  <c r="B41" i="2"/>
  <c r="F40" i="2"/>
  <c r="D38" i="2"/>
  <c r="D39" i="2" s="1"/>
  <c r="C38" i="2"/>
  <c r="C39" i="2" s="1"/>
  <c r="B38" i="2"/>
  <c r="B39" i="2" s="1"/>
  <c r="F39" i="2" s="1"/>
  <c r="F37" i="2"/>
  <c r="E37" i="2"/>
  <c r="D37" i="2"/>
  <c r="F36" i="2"/>
  <c r="E36" i="2"/>
  <c r="F35" i="2"/>
  <c r="E35" i="2"/>
  <c r="E38" i="2" s="1"/>
  <c r="E39" i="2" s="1"/>
  <c r="D35" i="2"/>
  <c r="F34" i="2"/>
  <c r="F33" i="2"/>
  <c r="C32" i="2"/>
  <c r="C43" i="2" s="1"/>
  <c r="B32" i="2"/>
  <c r="F31" i="2"/>
  <c r="E31" i="2"/>
  <c r="C31" i="2"/>
  <c r="E30" i="2"/>
  <c r="F30" i="2" s="1"/>
  <c r="D30" i="2"/>
  <c r="D32" i="2" s="1"/>
  <c r="F29" i="2"/>
  <c r="E29" i="2"/>
  <c r="E32" i="2" s="1"/>
  <c r="E43" i="2" s="1"/>
  <c r="C29" i="2"/>
  <c r="F28" i="2"/>
  <c r="E28" i="2"/>
  <c r="F27" i="2"/>
  <c r="F26" i="2"/>
  <c r="B24" i="2"/>
  <c r="F23" i="2"/>
  <c r="E23" i="2"/>
  <c r="D23" i="2"/>
  <c r="C23" i="2"/>
  <c r="B23" i="2"/>
  <c r="E22" i="2"/>
  <c r="D22" i="2"/>
  <c r="D24" i="2" s="1"/>
  <c r="B22" i="2"/>
  <c r="F22" i="2" s="1"/>
  <c r="E21" i="2"/>
  <c r="D21" i="2"/>
  <c r="C21" i="2"/>
  <c r="C24" i="2" s="1"/>
  <c r="B21" i="2"/>
  <c r="F21" i="2" s="1"/>
  <c r="E20" i="2"/>
  <c r="E24" i="2" s="1"/>
  <c r="F19" i="2"/>
  <c r="C18" i="2"/>
  <c r="B18" i="2"/>
  <c r="E17" i="2"/>
  <c r="F17" i="2" s="1"/>
  <c r="F16" i="2"/>
  <c r="E16" i="2"/>
  <c r="E18" i="2" s="1"/>
  <c r="D16" i="2"/>
  <c r="D18" i="2" s="1"/>
  <c r="C16" i="2"/>
  <c r="B16" i="2"/>
  <c r="F15" i="2"/>
  <c r="E14" i="2"/>
  <c r="D14" i="2"/>
  <c r="C14" i="2"/>
  <c r="B14" i="2"/>
  <c r="F14" i="2" s="1"/>
  <c r="B13" i="2"/>
  <c r="F13" i="2" s="1"/>
  <c r="F12" i="2"/>
  <c r="E12" i="2"/>
  <c r="F11" i="2"/>
  <c r="E11" i="2"/>
  <c r="D11" i="2"/>
  <c r="C11" i="2"/>
  <c r="B11" i="2"/>
  <c r="E10" i="2"/>
  <c r="C10" i="2"/>
  <c r="C25" i="2" s="1"/>
  <c r="E9" i="2"/>
  <c r="D9" i="2"/>
  <c r="D10" i="2" s="1"/>
  <c r="D25" i="2" s="1"/>
  <c r="C9" i="2"/>
  <c r="B9" i="2"/>
  <c r="B10" i="2" s="1"/>
  <c r="F8" i="2"/>
  <c r="F7" i="2"/>
  <c r="C268" i="3"/>
  <c r="B268" i="3"/>
  <c r="E268" i="3" s="1"/>
  <c r="C266" i="3"/>
  <c r="B266" i="3"/>
  <c r="E266" i="3" s="1"/>
  <c r="E265" i="3"/>
  <c r="C265" i="3"/>
  <c r="B265" i="3"/>
  <c r="D265" i="3" s="1"/>
  <c r="C264" i="3"/>
  <c r="B264" i="3"/>
  <c r="E264" i="3" s="1"/>
  <c r="E263" i="3"/>
  <c r="C263" i="3"/>
  <c r="C267" i="3" s="1"/>
  <c r="B263" i="3"/>
  <c r="D263" i="3" s="1"/>
  <c r="E262" i="3"/>
  <c r="D262" i="3"/>
  <c r="D256" i="3"/>
  <c r="C256" i="3"/>
  <c r="E256" i="3" s="1"/>
  <c r="C255" i="3"/>
  <c r="E255" i="3" s="1"/>
  <c r="B255" i="3"/>
  <c r="D255" i="3" s="1"/>
  <c r="E254" i="3"/>
  <c r="D254" i="3"/>
  <c r="E252" i="3"/>
  <c r="D252" i="3"/>
  <c r="C252" i="3"/>
  <c r="B252" i="3"/>
  <c r="E251" i="3"/>
  <c r="D251" i="3"/>
  <c r="C251" i="3"/>
  <c r="B251" i="3"/>
  <c r="E250" i="3"/>
  <c r="D250" i="3"/>
  <c r="C250" i="3"/>
  <c r="B250" i="3"/>
  <c r="E249" i="3"/>
  <c r="D249" i="3"/>
  <c r="C249" i="3"/>
  <c r="B249" i="3"/>
  <c r="E248" i="3"/>
  <c r="D248" i="3"/>
  <c r="C248" i="3"/>
  <c r="B248" i="3"/>
  <c r="E247" i="3"/>
  <c r="D247" i="3"/>
  <c r="C247" i="3"/>
  <c r="B247" i="3"/>
  <c r="E246" i="3"/>
  <c r="D246" i="3"/>
  <c r="C246" i="3"/>
  <c r="B246" i="3"/>
  <c r="E245" i="3"/>
  <c r="D245" i="3"/>
  <c r="C245" i="3"/>
  <c r="C253" i="3" s="1"/>
  <c r="E253" i="3" s="1"/>
  <c r="B245" i="3"/>
  <c r="E244" i="3"/>
  <c r="D244" i="3"/>
  <c r="B244" i="3"/>
  <c r="B253" i="3" s="1"/>
  <c r="E243" i="3"/>
  <c r="D243" i="3"/>
  <c r="E241" i="3"/>
  <c r="D241" i="3"/>
  <c r="C241" i="3"/>
  <c r="E240" i="3"/>
  <c r="D240" i="3"/>
  <c r="C240" i="3"/>
  <c r="B240" i="3"/>
  <c r="B239" i="3"/>
  <c r="E238" i="3"/>
  <c r="D238" i="3"/>
  <c r="C238" i="3"/>
  <c r="C239" i="3" s="1"/>
  <c r="B238" i="3"/>
  <c r="E237" i="3"/>
  <c r="D237" i="3"/>
  <c r="E236" i="3"/>
  <c r="B236" i="3"/>
  <c r="B242" i="3" s="1"/>
  <c r="E235" i="3"/>
  <c r="D235" i="3"/>
  <c r="D233" i="3"/>
  <c r="C233" i="3"/>
  <c r="E233" i="3" s="1"/>
  <c r="B233" i="3"/>
  <c r="D232" i="3"/>
  <c r="C232" i="3"/>
  <c r="E232" i="3" s="1"/>
  <c r="B232" i="3"/>
  <c r="B234" i="3" s="1"/>
  <c r="E231" i="3"/>
  <c r="D231" i="3"/>
  <c r="C229" i="3"/>
  <c r="B229" i="3"/>
  <c r="E229" i="3" s="1"/>
  <c r="C228" i="3"/>
  <c r="C230" i="3" s="1"/>
  <c r="B228" i="3"/>
  <c r="E228" i="3" s="1"/>
  <c r="E227" i="3"/>
  <c r="D227" i="3"/>
  <c r="D226" i="3"/>
  <c r="C226" i="3"/>
  <c r="E226" i="3" s="1"/>
  <c r="B226" i="3"/>
  <c r="D224" i="3"/>
  <c r="C224" i="3"/>
  <c r="E224" i="3" s="1"/>
  <c r="B224" i="3"/>
  <c r="D223" i="3"/>
  <c r="C223" i="3"/>
  <c r="E223" i="3" s="1"/>
  <c r="B223" i="3"/>
  <c r="D222" i="3"/>
  <c r="C222" i="3"/>
  <c r="C225" i="3" s="1"/>
  <c r="B222" i="3"/>
  <c r="B225" i="3" s="1"/>
  <c r="D225" i="3" s="1"/>
  <c r="E221" i="3"/>
  <c r="D221" i="3"/>
  <c r="B220" i="3"/>
  <c r="E219" i="3"/>
  <c r="D219" i="3"/>
  <c r="C219" i="3"/>
  <c r="E218" i="3"/>
  <c r="D218" i="3"/>
  <c r="C218" i="3"/>
  <c r="B218" i="3"/>
  <c r="E217" i="3"/>
  <c r="D217" i="3"/>
  <c r="C217" i="3"/>
  <c r="B217" i="3"/>
  <c r="E216" i="3"/>
  <c r="D216" i="3"/>
  <c r="C216" i="3"/>
  <c r="C220" i="3" s="1"/>
  <c r="E220" i="3" s="1"/>
  <c r="B216" i="3"/>
  <c r="E215" i="3"/>
  <c r="D215" i="3"/>
  <c r="C213" i="3"/>
  <c r="E213" i="3" s="1"/>
  <c r="B213" i="3"/>
  <c r="D213" i="3" s="1"/>
  <c r="C212" i="3"/>
  <c r="E212" i="3" s="1"/>
  <c r="B212" i="3"/>
  <c r="D212" i="3" s="1"/>
  <c r="C211" i="3"/>
  <c r="E211" i="3" s="1"/>
  <c r="B211" i="3"/>
  <c r="D211" i="3" s="1"/>
  <c r="C210" i="3"/>
  <c r="E210" i="3" s="1"/>
  <c r="B210" i="3"/>
  <c r="D210" i="3" s="1"/>
  <c r="C209" i="3"/>
  <c r="E209" i="3" s="1"/>
  <c r="B209" i="3"/>
  <c r="D209" i="3" s="1"/>
  <c r="C208" i="3"/>
  <c r="E208" i="3" s="1"/>
  <c r="B208" i="3"/>
  <c r="D208" i="3" s="1"/>
  <c r="E207" i="3"/>
  <c r="D207" i="3"/>
  <c r="E205" i="3"/>
  <c r="D205" i="3"/>
  <c r="C205" i="3"/>
  <c r="B205" i="3"/>
  <c r="E204" i="3"/>
  <c r="D204" i="3"/>
  <c r="C204" i="3"/>
  <c r="C206" i="3" s="1"/>
  <c r="B204" i="3"/>
  <c r="E203" i="3"/>
  <c r="D203" i="3"/>
  <c r="C203" i="3"/>
  <c r="B203" i="3"/>
  <c r="B206" i="3" s="1"/>
  <c r="D206" i="3" s="1"/>
  <c r="E202" i="3"/>
  <c r="D202" i="3"/>
  <c r="C200" i="3"/>
  <c r="E200" i="3" s="1"/>
  <c r="B200" i="3"/>
  <c r="C199" i="3"/>
  <c r="E199" i="3" s="1"/>
  <c r="C198" i="3"/>
  <c r="B198" i="3"/>
  <c r="C197" i="3"/>
  <c r="B197" i="3"/>
  <c r="E197" i="3" s="1"/>
  <c r="E196" i="3"/>
  <c r="D196" i="3"/>
  <c r="C196" i="3"/>
  <c r="E194" i="3"/>
  <c r="D194" i="3"/>
  <c r="B194" i="3"/>
  <c r="E193" i="3"/>
  <c r="D193" i="3"/>
  <c r="B193" i="3"/>
  <c r="E192" i="3"/>
  <c r="B192" i="3"/>
  <c r="D192" i="3" s="1"/>
  <c r="E191" i="3"/>
  <c r="B191" i="3"/>
  <c r="D191" i="3" s="1"/>
  <c r="E190" i="3"/>
  <c r="D190" i="3"/>
  <c r="B190" i="3"/>
  <c r="D189" i="3"/>
  <c r="C189" i="3"/>
  <c r="E189" i="3" s="1"/>
  <c r="B189" i="3"/>
  <c r="D188" i="3"/>
  <c r="C188" i="3"/>
  <c r="E188" i="3" s="1"/>
  <c r="B188" i="3"/>
  <c r="D187" i="3"/>
  <c r="C187" i="3"/>
  <c r="E187" i="3" s="1"/>
  <c r="B187" i="3"/>
  <c r="D186" i="3"/>
  <c r="C186" i="3"/>
  <c r="E186" i="3" s="1"/>
  <c r="B186" i="3"/>
  <c r="D185" i="3"/>
  <c r="C185" i="3"/>
  <c r="C195" i="3" s="1"/>
  <c r="E195" i="3" s="1"/>
  <c r="B185" i="3"/>
  <c r="B195" i="3" s="1"/>
  <c r="E184" i="3"/>
  <c r="D184" i="3"/>
  <c r="C182" i="3"/>
  <c r="B182" i="3"/>
  <c r="C181" i="3"/>
  <c r="B181" i="3"/>
  <c r="E181" i="3" s="1"/>
  <c r="E180" i="3"/>
  <c r="B180" i="3"/>
  <c r="D180" i="3" s="1"/>
  <c r="E179" i="3"/>
  <c r="D179" i="3"/>
  <c r="C179" i="3"/>
  <c r="B179" i="3"/>
  <c r="E178" i="3"/>
  <c r="D178" i="3"/>
  <c r="C178" i="3"/>
  <c r="B178" i="3"/>
  <c r="E177" i="3"/>
  <c r="D177" i="3"/>
  <c r="C177" i="3"/>
  <c r="C183" i="3" s="1"/>
  <c r="B177" i="3"/>
  <c r="E176" i="3"/>
  <c r="D176" i="3"/>
  <c r="C175" i="3"/>
  <c r="C174" i="3"/>
  <c r="E174" i="3" s="1"/>
  <c r="B174" i="3"/>
  <c r="D174" i="3" s="1"/>
  <c r="C173" i="3"/>
  <c r="E173" i="3" s="1"/>
  <c r="B173" i="3"/>
  <c r="C172" i="3"/>
  <c r="E172" i="3" s="1"/>
  <c r="B172" i="3"/>
  <c r="D172" i="3" s="1"/>
  <c r="C171" i="3"/>
  <c r="E171" i="3" s="1"/>
  <c r="B171" i="3"/>
  <c r="B175" i="3" s="1"/>
  <c r="D175" i="3" s="1"/>
  <c r="E170" i="3"/>
  <c r="D170" i="3"/>
  <c r="E168" i="3"/>
  <c r="D168" i="3"/>
  <c r="C168" i="3"/>
  <c r="B168" i="3"/>
  <c r="E167" i="3"/>
  <c r="D167" i="3"/>
  <c r="C167" i="3"/>
  <c r="C169" i="3" s="1"/>
  <c r="E169" i="3" s="1"/>
  <c r="B167" i="3"/>
  <c r="B169" i="3" s="1"/>
  <c r="E166" i="3"/>
  <c r="D166" i="3"/>
  <c r="C165" i="3"/>
  <c r="E165" i="3" s="1"/>
  <c r="B165" i="3"/>
  <c r="D165" i="3" s="1"/>
  <c r="C164" i="3"/>
  <c r="E164" i="3" s="1"/>
  <c r="B164" i="3"/>
  <c r="D164" i="3" s="1"/>
  <c r="C163" i="3"/>
  <c r="E163" i="3" s="1"/>
  <c r="B163" i="3"/>
  <c r="D163" i="3" s="1"/>
  <c r="C162" i="3"/>
  <c r="B162" i="3"/>
  <c r="E161" i="3"/>
  <c r="D161" i="3"/>
  <c r="E160" i="3"/>
  <c r="D160" i="3"/>
  <c r="C158" i="3"/>
  <c r="E157" i="3"/>
  <c r="B157" i="3"/>
  <c r="D157" i="3" s="1"/>
  <c r="C156" i="3"/>
  <c r="B156" i="3"/>
  <c r="E156" i="3" s="1"/>
  <c r="E155" i="3"/>
  <c r="D155" i="3"/>
  <c r="B155" i="3"/>
  <c r="E154" i="3"/>
  <c r="D154" i="3"/>
  <c r="C154" i="3"/>
  <c r="B154" i="3"/>
  <c r="E153" i="3"/>
  <c r="D153" i="3"/>
  <c r="C152" i="3"/>
  <c r="C151" i="3"/>
  <c r="E151" i="3" s="1"/>
  <c r="C150" i="3"/>
  <c r="B150" i="3"/>
  <c r="E149" i="3"/>
  <c r="D149" i="3"/>
  <c r="D147" i="3"/>
  <c r="C147" i="3"/>
  <c r="E147" i="3" s="1"/>
  <c r="B147" i="3"/>
  <c r="D146" i="3"/>
  <c r="C146" i="3"/>
  <c r="E146" i="3" s="1"/>
  <c r="B146" i="3"/>
  <c r="D145" i="3"/>
  <c r="C145" i="3"/>
  <c r="E145" i="3" s="1"/>
  <c r="B145" i="3"/>
  <c r="D144" i="3"/>
  <c r="C144" i="3"/>
  <c r="E144" i="3" s="1"/>
  <c r="C143" i="3"/>
  <c r="C142" i="3"/>
  <c r="B142" i="3"/>
  <c r="E142" i="3" s="1"/>
  <c r="C141" i="3"/>
  <c r="B141" i="3"/>
  <c r="C140" i="3"/>
  <c r="B140" i="3"/>
  <c r="E140" i="3" s="1"/>
  <c r="C139" i="3"/>
  <c r="B139" i="3"/>
  <c r="E138" i="3"/>
  <c r="D138" i="3"/>
  <c r="C138" i="3"/>
  <c r="E137" i="3"/>
  <c r="D137" i="3"/>
  <c r="C137" i="3"/>
  <c r="B137" i="3"/>
  <c r="B148" i="3" s="1"/>
  <c r="E136" i="3"/>
  <c r="D136" i="3"/>
  <c r="C134" i="3"/>
  <c r="B134" i="3"/>
  <c r="B135" i="3" s="1"/>
  <c r="E133" i="3"/>
  <c r="D133" i="3"/>
  <c r="E131" i="3"/>
  <c r="D131" i="3"/>
  <c r="B131" i="3"/>
  <c r="E130" i="3"/>
  <c r="D130" i="3"/>
  <c r="B130" i="3"/>
  <c r="E129" i="3"/>
  <c r="B129" i="3"/>
  <c r="D129" i="3" s="1"/>
  <c r="E128" i="3"/>
  <c r="D128" i="3"/>
  <c r="B128" i="3"/>
  <c r="E127" i="3"/>
  <c r="D127" i="3"/>
  <c r="B127" i="3"/>
  <c r="D126" i="3"/>
  <c r="C126" i="3"/>
  <c r="E126" i="3" s="1"/>
  <c r="C125" i="3"/>
  <c r="E125" i="3" s="1"/>
  <c r="B125" i="3"/>
  <c r="D125" i="3" s="1"/>
  <c r="C124" i="3"/>
  <c r="E124" i="3" s="1"/>
  <c r="B124" i="3"/>
  <c r="C123" i="3"/>
  <c r="E123" i="3" s="1"/>
  <c r="B123" i="3"/>
  <c r="D123" i="3" s="1"/>
  <c r="C122" i="3"/>
  <c r="E122" i="3" s="1"/>
  <c r="B122" i="3"/>
  <c r="D122" i="3" s="1"/>
  <c r="C121" i="3"/>
  <c r="E121" i="3" s="1"/>
  <c r="B121" i="3"/>
  <c r="D121" i="3" s="1"/>
  <c r="C120" i="3"/>
  <c r="E120" i="3" s="1"/>
  <c r="B120" i="3"/>
  <c r="C119" i="3"/>
  <c r="E119" i="3" s="1"/>
  <c r="B119" i="3"/>
  <c r="D119" i="3" s="1"/>
  <c r="C118" i="3"/>
  <c r="E118" i="3" s="1"/>
  <c r="B118" i="3"/>
  <c r="D118" i="3" s="1"/>
  <c r="C117" i="3"/>
  <c r="E117" i="3" s="1"/>
  <c r="B117" i="3"/>
  <c r="D117" i="3" s="1"/>
  <c r="C116" i="3"/>
  <c r="E116" i="3" s="1"/>
  <c r="B116" i="3"/>
  <c r="C115" i="3"/>
  <c r="E115" i="3" s="1"/>
  <c r="B115" i="3"/>
  <c r="D115" i="3" s="1"/>
  <c r="C114" i="3"/>
  <c r="E114" i="3" s="1"/>
  <c r="B114" i="3"/>
  <c r="D114" i="3" s="1"/>
  <c r="C113" i="3"/>
  <c r="E113" i="3" s="1"/>
  <c r="B113" i="3"/>
  <c r="D113" i="3" s="1"/>
  <c r="C112" i="3"/>
  <c r="E112" i="3" s="1"/>
  <c r="B112" i="3"/>
  <c r="C111" i="3"/>
  <c r="E111" i="3" s="1"/>
  <c r="B111" i="3"/>
  <c r="D111" i="3" s="1"/>
  <c r="C110" i="3"/>
  <c r="E110" i="3" s="1"/>
  <c r="B110" i="3"/>
  <c r="D110" i="3" s="1"/>
  <c r="C109" i="3"/>
  <c r="E109" i="3" s="1"/>
  <c r="B109" i="3"/>
  <c r="D109" i="3" s="1"/>
  <c r="C108" i="3"/>
  <c r="E108" i="3" s="1"/>
  <c r="B108" i="3"/>
  <c r="C107" i="3"/>
  <c r="E107" i="3" s="1"/>
  <c r="B107" i="3"/>
  <c r="D107" i="3" s="1"/>
  <c r="C106" i="3"/>
  <c r="E106" i="3" s="1"/>
  <c r="B106" i="3"/>
  <c r="D106" i="3" s="1"/>
  <c r="C105" i="3"/>
  <c r="E105" i="3" s="1"/>
  <c r="B105" i="3"/>
  <c r="D105" i="3" s="1"/>
  <c r="C104" i="3"/>
  <c r="E104" i="3" s="1"/>
  <c r="B104" i="3"/>
  <c r="C103" i="3"/>
  <c r="E103" i="3" s="1"/>
  <c r="B103" i="3"/>
  <c r="D103" i="3" s="1"/>
  <c r="C102" i="3"/>
  <c r="E102" i="3" s="1"/>
  <c r="B102" i="3"/>
  <c r="D102" i="3" s="1"/>
  <c r="C101" i="3"/>
  <c r="E101" i="3" s="1"/>
  <c r="B101" i="3"/>
  <c r="D101" i="3" s="1"/>
  <c r="C100" i="3"/>
  <c r="E100" i="3" s="1"/>
  <c r="B100" i="3"/>
  <c r="C99" i="3"/>
  <c r="E99" i="3" s="1"/>
  <c r="B99" i="3"/>
  <c r="D99" i="3" s="1"/>
  <c r="C98" i="3"/>
  <c r="E98" i="3" s="1"/>
  <c r="B98" i="3"/>
  <c r="D98" i="3" s="1"/>
  <c r="C97" i="3"/>
  <c r="E97" i="3" s="1"/>
  <c r="B97" i="3"/>
  <c r="D97" i="3" s="1"/>
  <c r="C96" i="3"/>
  <c r="E96" i="3" s="1"/>
  <c r="B96" i="3"/>
  <c r="C95" i="3"/>
  <c r="E95" i="3" s="1"/>
  <c r="B95" i="3"/>
  <c r="D95" i="3" s="1"/>
  <c r="C94" i="3"/>
  <c r="E94" i="3" s="1"/>
  <c r="B94" i="3"/>
  <c r="D94" i="3" s="1"/>
  <c r="C93" i="3"/>
  <c r="E93" i="3" s="1"/>
  <c r="B93" i="3"/>
  <c r="D93" i="3" s="1"/>
  <c r="C92" i="3"/>
  <c r="E92" i="3" s="1"/>
  <c r="B92" i="3"/>
  <c r="C91" i="3"/>
  <c r="E91" i="3" s="1"/>
  <c r="B91" i="3"/>
  <c r="D91" i="3" s="1"/>
  <c r="C90" i="3"/>
  <c r="E90" i="3" s="1"/>
  <c r="B90" i="3"/>
  <c r="D90" i="3" s="1"/>
  <c r="C89" i="3"/>
  <c r="E89" i="3" s="1"/>
  <c r="B89" i="3"/>
  <c r="D89" i="3" s="1"/>
  <c r="C88" i="3"/>
  <c r="E88" i="3" s="1"/>
  <c r="B88" i="3"/>
  <c r="C87" i="3"/>
  <c r="E87" i="3" s="1"/>
  <c r="B87" i="3"/>
  <c r="D87" i="3" s="1"/>
  <c r="C86" i="3"/>
  <c r="E86" i="3" s="1"/>
  <c r="B86" i="3"/>
  <c r="D86" i="3" s="1"/>
  <c r="C85" i="3"/>
  <c r="E85" i="3" s="1"/>
  <c r="B85" i="3"/>
  <c r="D85" i="3" s="1"/>
  <c r="C84" i="3"/>
  <c r="E84" i="3" s="1"/>
  <c r="B84" i="3"/>
  <c r="C83" i="3"/>
  <c r="E83" i="3" s="1"/>
  <c r="B83" i="3"/>
  <c r="D83" i="3" s="1"/>
  <c r="C82" i="3"/>
  <c r="E82" i="3" s="1"/>
  <c r="B82" i="3"/>
  <c r="D82" i="3" s="1"/>
  <c r="C81" i="3"/>
  <c r="E81" i="3" s="1"/>
  <c r="B81" i="3"/>
  <c r="D81" i="3" s="1"/>
  <c r="C80" i="3"/>
  <c r="E80" i="3" s="1"/>
  <c r="B80" i="3"/>
  <c r="C79" i="3"/>
  <c r="E79" i="3" s="1"/>
  <c r="B79" i="3"/>
  <c r="D79" i="3" s="1"/>
  <c r="C78" i="3"/>
  <c r="E78" i="3" s="1"/>
  <c r="B78" i="3"/>
  <c r="D78" i="3" s="1"/>
  <c r="C77" i="3"/>
  <c r="E77" i="3" s="1"/>
  <c r="B77" i="3"/>
  <c r="D77" i="3" s="1"/>
  <c r="C76" i="3"/>
  <c r="E76" i="3" s="1"/>
  <c r="B76" i="3"/>
  <c r="C75" i="3"/>
  <c r="E75" i="3" s="1"/>
  <c r="B75" i="3"/>
  <c r="D75" i="3" s="1"/>
  <c r="C74" i="3"/>
  <c r="E74" i="3" s="1"/>
  <c r="B74" i="3"/>
  <c r="D74" i="3" s="1"/>
  <c r="C73" i="3"/>
  <c r="E73" i="3" s="1"/>
  <c r="B73" i="3"/>
  <c r="D73" i="3" s="1"/>
  <c r="C72" i="3"/>
  <c r="E72" i="3" s="1"/>
  <c r="B72" i="3"/>
  <c r="C71" i="3"/>
  <c r="E71" i="3" s="1"/>
  <c r="B71" i="3"/>
  <c r="D71" i="3" s="1"/>
  <c r="C70" i="3"/>
  <c r="E70" i="3" s="1"/>
  <c r="B70" i="3"/>
  <c r="D70" i="3" s="1"/>
  <c r="C69" i="3"/>
  <c r="E69" i="3" s="1"/>
  <c r="B69" i="3"/>
  <c r="D69" i="3" s="1"/>
  <c r="C68" i="3"/>
  <c r="E68" i="3" s="1"/>
  <c r="B68" i="3"/>
  <c r="C67" i="3"/>
  <c r="E67" i="3" s="1"/>
  <c r="B67" i="3"/>
  <c r="D67" i="3" s="1"/>
  <c r="C66" i="3"/>
  <c r="E66" i="3" s="1"/>
  <c r="B66" i="3"/>
  <c r="D66" i="3" s="1"/>
  <c r="C65" i="3"/>
  <c r="E65" i="3" s="1"/>
  <c r="B65" i="3"/>
  <c r="D65" i="3" s="1"/>
  <c r="C64" i="3"/>
  <c r="E64" i="3" s="1"/>
  <c r="B64" i="3"/>
  <c r="C63" i="3"/>
  <c r="E63" i="3" s="1"/>
  <c r="B63" i="3"/>
  <c r="D63" i="3" s="1"/>
  <c r="C62" i="3"/>
  <c r="E62" i="3" s="1"/>
  <c r="B62" i="3"/>
  <c r="D62" i="3" s="1"/>
  <c r="C61" i="3"/>
  <c r="E61" i="3" s="1"/>
  <c r="B61" i="3"/>
  <c r="D61" i="3" s="1"/>
  <c r="C60" i="3"/>
  <c r="E60" i="3" s="1"/>
  <c r="B60" i="3"/>
  <c r="C59" i="3"/>
  <c r="E59" i="3" s="1"/>
  <c r="B59" i="3"/>
  <c r="D59" i="3" s="1"/>
  <c r="C58" i="3"/>
  <c r="B58" i="3"/>
  <c r="B132" i="3" s="1"/>
  <c r="E57" i="3"/>
  <c r="D57" i="3"/>
  <c r="E56" i="3"/>
  <c r="D56" i="3"/>
  <c r="C52" i="3"/>
  <c r="E52" i="3" s="1"/>
  <c r="B52" i="3"/>
  <c r="D52" i="3" s="1"/>
  <c r="C51" i="3"/>
  <c r="E51" i="3" s="1"/>
  <c r="B51" i="3"/>
  <c r="D51" i="3" s="1"/>
  <c r="E50" i="3"/>
  <c r="D50" i="3"/>
  <c r="E47" i="3"/>
  <c r="D47" i="3"/>
  <c r="C47" i="3"/>
  <c r="C48" i="3" s="1"/>
  <c r="B47" i="3"/>
  <c r="B48" i="3" s="1"/>
  <c r="D48" i="3" s="1"/>
  <c r="E46" i="3"/>
  <c r="D46" i="3"/>
  <c r="C43" i="3"/>
  <c r="C42" i="3"/>
  <c r="B42" i="3"/>
  <c r="E42" i="3" s="1"/>
  <c r="C41" i="3"/>
  <c r="B41" i="3"/>
  <c r="C40" i="3"/>
  <c r="B40" i="3"/>
  <c r="E40" i="3" s="1"/>
  <c r="E39" i="3"/>
  <c r="D39" i="3"/>
  <c r="E38" i="3"/>
  <c r="D38" i="3"/>
  <c r="E36" i="3"/>
  <c r="B36" i="3"/>
  <c r="D36" i="3" s="1"/>
  <c r="E35" i="3"/>
  <c r="D35" i="3"/>
  <c r="B35" i="3"/>
  <c r="D34" i="3"/>
  <c r="C34" i="3"/>
  <c r="E34" i="3" s="1"/>
  <c r="B34" i="3"/>
  <c r="D32" i="3"/>
  <c r="C32" i="3"/>
  <c r="E32" i="3" s="1"/>
  <c r="C31" i="3"/>
  <c r="B31" i="3"/>
  <c r="B33" i="3" s="1"/>
  <c r="B37" i="3" s="1"/>
  <c r="E30" i="3"/>
  <c r="D30" i="3"/>
  <c r="E29" i="3"/>
  <c r="D29" i="3"/>
  <c r="C26" i="3"/>
  <c r="B26" i="3"/>
  <c r="E25" i="3"/>
  <c r="B25" i="3"/>
  <c r="D25" i="3" s="1"/>
  <c r="C24" i="3"/>
  <c r="B24" i="3"/>
  <c r="C23" i="3"/>
  <c r="B23" i="3"/>
  <c r="E23" i="3" s="1"/>
  <c r="E22" i="3"/>
  <c r="D22" i="3"/>
  <c r="D20" i="3"/>
  <c r="C20" i="3"/>
  <c r="E20" i="3" s="1"/>
  <c r="B20" i="3"/>
  <c r="D19" i="3"/>
  <c r="C19" i="3"/>
  <c r="C21" i="3" s="1"/>
  <c r="E21" i="3" s="1"/>
  <c r="B19" i="3"/>
  <c r="B21" i="3" s="1"/>
  <c r="D21" i="3" s="1"/>
  <c r="E18" i="3"/>
  <c r="D18" i="3"/>
  <c r="C17" i="3"/>
  <c r="B17" i="3"/>
  <c r="C16" i="3"/>
  <c r="B16" i="3"/>
  <c r="E16" i="3" s="1"/>
  <c r="C15" i="3"/>
  <c r="B15" i="3"/>
  <c r="E14" i="3"/>
  <c r="C14" i="3"/>
  <c r="B14" i="3"/>
  <c r="D14" i="3" s="1"/>
  <c r="E13" i="3"/>
  <c r="C13" i="3"/>
  <c r="D13" i="3" s="1"/>
  <c r="E11" i="3"/>
  <c r="D11" i="3"/>
  <c r="C11" i="3"/>
  <c r="D10" i="3"/>
  <c r="C10" i="3"/>
  <c r="C12" i="3" s="1"/>
  <c r="B10" i="3"/>
  <c r="B12" i="3" s="1"/>
  <c r="E12" i="3" s="1"/>
  <c r="E9" i="3"/>
  <c r="D9" i="3"/>
  <c r="E8" i="3"/>
  <c r="D8" i="3"/>
  <c r="E277" i="6"/>
  <c r="B277" i="6"/>
  <c r="D277" i="6" s="1"/>
  <c r="E275" i="6"/>
  <c r="D275" i="6"/>
  <c r="B275" i="6"/>
  <c r="E274" i="6"/>
  <c r="D274" i="6"/>
  <c r="B274" i="6"/>
  <c r="C273" i="6"/>
  <c r="C276" i="6" s="1"/>
  <c r="B273" i="6"/>
  <c r="D273" i="6" s="1"/>
  <c r="E272" i="6"/>
  <c r="B272" i="6"/>
  <c r="B276" i="6" s="1"/>
  <c r="E271" i="6"/>
  <c r="D271" i="6"/>
  <c r="B266" i="6"/>
  <c r="D266" i="6" s="1"/>
  <c r="D265" i="6"/>
  <c r="C265" i="6"/>
  <c r="E265" i="6" s="1"/>
  <c r="C264" i="6"/>
  <c r="E264" i="6" s="1"/>
  <c r="B264" i="6"/>
  <c r="C263" i="6"/>
  <c r="C266" i="6" s="1"/>
  <c r="E266" i="6" s="1"/>
  <c r="E262" i="6"/>
  <c r="D262" i="6"/>
  <c r="B261" i="6"/>
  <c r="D261" i="6" s="1"/>
  <c r="D260" i="6"/>
  <c r="C260" i="6"/>
  <c r="E260" i="6" s="1"/>
  <c r="B260" i="6"/>
  <c r="C259" i="6"/>
  <c r="B259" i="6"/>
  <c r="D259" i="6" s="1"/>
  <c r="D258" i="6"/>
  <c r="C258" i="6"/>
  <c r="E258" i="6" s="1"/>
  <c r="B258" i="6"/>
  <c r="C257" i="6"/>
  <c r="B257" i="6"/>
  <c r="D257" i="6" s="1"/>
  <c r="D256" i="6"/>
  <c r="C256" i="6"/>
  <c r="E256" i="6" s="1"/>
  <c r="B256" i="6"/>
  <c r="C255" i="6"/>
  <c r="B255" i="6"/>
  <c r="E255" i="6" s="1"/>
  <c r="D254" i="6"/>
  <c r="C254" i="6"/>
  <c r="E254" i="6" s="1"/>
  <c r="B254" i="6"/>
  <c r="C253" i="6"/>
  <c r="B253" i="6"/>
  <c r="D253" i="6" s="1"/>
  <c r="D252" i="6"/>
  <c r="C252" i="6"/>
  <c r="C261" i="6" s="1"/>
  <c r="E261" i="6" s="1"/>
  <c r="B252" i="6"/>
  <c r="E251" i="6"/>
  <c r="D251" i="6"/>
  <c r="C249" i="6"/>
  <c r="E249" i="6" s="1"/>
  <c r="C248" i="6"/>
  <c r="B248" i="6"/>
  <c r="B247" i="6"/>
  <c r="C246" i="6"/>
  <c r="D245" i="6"/>
  <c r="C245" i="6"/>
  <c r="E245" i="6" s="1"/>
  <c r="B245" i="6"/>
  <c r="E244" i="6"/>
  <c r="D244" i="6"/>
  <c r="E243" i="6"/>
  <c r="D243" i="6"/>
  <c r="C243" i="6"/>
  <c r="B243" i="6"/>
  <c r="B250" i="6" s="1"/>
  <c r="E242" i="6"/>
  <c r="D242" i="6"/>
  <c r="D240" i="6"/>
  <c r="C240" i="6"/>
  <c r="E240" i="6" s="1"/>
  <c r="B240" i="6"/>
  <c r="C239" i="6"/>
  <c r="B239" i="6"/>
  <c r="D238" i="6"/>
  <c r="C238" i="6"/>
  <c r="C241" i="6" s="1"/>
  <c r="E237" i="6"/>
  <c r="D237" i="6"/>
  <c r="C236" i="6"/>
  <c r="E235" i="6"/>
  <c r="C235" i="6"/>
  <c r="B235" i="6"/>
  <c r="D235" i="6" s="1"/>
  <c r="C234" i="6"/>
  <c r="B234" i="6"/>
  <c r="B236" i="6" s="1"/>
  <c r="D236" i="6" s="1"/>
  <c r="E233" i="6"/>
  <c r="D233" i="6"/>
  <c r="C232" i="6"/>
  <c r="E232" i="6" s="1"/>
  <c r="B232" i="6"/>
  <c r="C231" i="6"/>
  <c r="C230" i="6"/>
  <c r="E230" i="6" s="1"/>
  <c r="B230" i="6"/>
  <c r="C229" i="6"/>
  <c r="E229" i="6" s="1"/>
  <c r="B229" i="6"/>
  <c r="C228" i="6"/>
  <c r="E228" i="6" s="1"/>
  <c r="B228" i="6"/>
  <c r="E227" i="6"/>
  <c r="D227" i="6"/>
  <c r="C225" i="6"/>
  <c r="D224" i="6"/>
  <c r="C224" i="6"/>
  <c r="E224" i="6" s="1"/>
  <c r="B224" i="6"/>
  <c r="C223" i="6"/>
  <c r="B223" i="6"/>
  <c r="D222" i="6"/>
  <c r="C222" i="6"/>
  <c r="E222" i="6" s="1"/>
  <c r="B222" i="6"/>
  <c r="E221" i="6"/>
  <c r="D221" i="6"/>
  <c r="C219" i="6"/>
  <c r="E219" i="6" s="1"/>
  <c r="B219" i="6"/>
  <c r="D219" i="6" s="1"/>
  <c r="D218" i="6"/>
  <c r="C218" i="6"/>
  <c r="B218" i="6"/>
  <c r="E218" i="6" s="1"/>
  <c r="C217" i="6"/>
  <c r="E217" i="6" s="1"/>
  <c r="B217" i="6"/>
  <c r="D217" i="6" s="1"/>
  <c r="D216" i="6"/>
  <c r="C216" i="6"/>
  <c r="B216" i="6"/>
  <c r="E216" i="6" s="1"/>
  <c r="C215" i="6"/>
  <c r="E215" i="6" s="1"/>
  <c r="B215" i="6"/>
  <c r="D215" i="6" s="1"/>
  <c r="C214" i="6"/>
  <c r="C220" i="6" s="1"/>
  <c r="B214" i="6"/>
  <c r="E214" i="6" s="1"/>
  <c r="E213" i="6"/>
  <c r="D213" i="6"/>
  <c r="D211" i="6"/>
  <c r="C211" i="6"/>
  <c r="E211" i="6" s="1"/>
  <c r="B211" i="6"/>
  <c r="C210" i="6"/>
  <c r="B210" i="6"/>
  <c r="D209" i="6"/>
  <c r="C209" i="6"/>
  <c r="C212" i="6" s="1"/>
  <c r="B209" i="6"/>
  <c r="E208" i="6"/>
  <c r="D208" i="6"/>
  <c r="C206" i="6"/>
  <c r="E206" i="6" s="1"/>
  <c r="B206" i="6"/>
  <c r="D206" i="6" s="1"/>
  <c r="D205" i="6"/>
  <c r="C205" i="6"/>
  <c r="B205" i="6"/>
  <c r="E205" i="6" s="1"/>
  <c r="C204" i="6"/>
  <c r="E204" i="6" s="1"/>
  <c r="B204" i="6"/>
  <c r="D204" i="6" s="1"/>
  <c r="E203" i="6"/>
  <c r="D203" i="6"/>
  <c r="C203" i="6"/>
  <c r="C201" i="6"/>
  <c r="B201" i="6"/>
  <c r="E200" i="6"/>
  <c r="C200" i="6"/>
  <c r="B200" i="6"/>
  <c r="D200" i="6" s="1"/>
  <c r="C199" i="6"/>
  <c r="B199" i="6"/>
  <c r="E198" i="6"/>
  <c r="C198" i="6"/>
  <c r="B198" i="6"/>
  <c r="D198" i="6" s="1"/>
  <c r="C197" i="6"/>
  <c r="D197" i="6" s="1"/>
  <c r="B197" i="6"/>
  <c r="E196" i="6"/>
  <c r="C196" i="6"/>
  <c r="B196" i="6"/>
  <c r="D196" i="6" s="1"/>
  <c r="C195" i="6"/>
  <c r="B195" i="6"/>
  <c r="E194" i="6"/>
  <c r="C194" i="6"/>
  <c r="B194" i="6"/>
  <c r="D194" i="6" s="1"/>
  <c r="E193" i="6"/>
  <c r="C193" i="6"/>
  <c r="D193" i="6" s="1"/>
  <c r="B193" i="6"/>
  <c r="E192" i="6"/>
  <c r="C192" i="6"/>
  <c r="C202" i="6" s="1"/>
  <c r="B192" i="6"/>
  <c r="D192" i="6" s="1"/>
  <c r="E191" i="6"/>
  <c r="D191" i="6"/>
  <c r="C189" i="6"/>
  <c r="B189" i="6"/>
  <c r="E188" i="6"/>
  <c r="C188" i="6"/>
  <c r="D188" i="6" s="1"/>
  <c r="C187" i="6"/>
  <c r="E187" i="6" s="1"/>
  <c r="B187" i="6"/>
  <c r="D187" i="6" s="1"/>
  <c r="C186" i="6"/>
  <c r="B186" i="6"/>
  <c r="E186" i="6" s="1"/>
  <c r="C185" i="6"/>
  <c r="B185" i="6"/>
  <c r="D185" i="6" s="1"/>
  <c r="C184" i="6"/>
  <c r="B184" i="6"/>
  <c r="E184" i="6" s="1"/>
  <c r="C183" i="6"/>
  <c r="E183" i="6" s="1"/>
  <c r="B183" i="6"/>
  <c r="E182" i="6"/>
  <c r="D182" i="6"/>
  <c r="C180" i="6"/>
  <c r="B180" i="6"/>
  <c r="E180" i="6" s="1"/>
  <c r="D179" i="6"/>
  <c r="C179" i="6"/>
  <c r="E179" i="6" s="1"/>
  <c r="B179" i="6"/>
  <c r="C178" i="6"/>
  <c r="B178" i="6"/>
  <c r="E178" i="6" s="1"/>
  <c r="D177" i="6"/>
  <c r="C177" i="6"/>
  <c r="E177" i="6" s="1"/>
  <c r="B177" i="6"/>
  <c r="B181" i="6" s="1"/>
  <c r="E176" i="6"/>
  <c r="D176" i="6"/>
  <c r="B175" i="6"/>
  <c r="D175" i="6" s="1"/>
  <c r="C174" i="6"/>
  <c r="E174" i="6" s="1"/>
  <c r="E173" i="6"/>
  <c r="C173" i="6"/>
  <c r="D173" i="6" s="1"/>
  <c r="B173" i="6"/>
  <c r="E172" i="6"/>
  <c r="C172" i="6"/>
  <c r="C175" i="6" s="1"/>
  <c r="E175" i="6" s="1"/>
  <c r="B172" i="6"/>
  <c r="D172" i="6" s="1"/>
  <c r="E171" i="6"/>
  <c r="D171" i="6"/>
  <c r="E170" i="6"/>
  <c r="C170" i="6"/>
  <c r="B170" i="6"/>
  <c r="D170" i="6" s="1"/>
  <c r="C169" i="6"/>
  <c r="B169" i="6"/>
  <c r="C168" i="6"/>
  <c r="E168" i="6" s="1"/>
  <c r="B168" i="6"/>
  <c r="C167" i="6"/>
  <c r="B167" i="6"/>
  <c r="E166" i="6"/>
  <c r="D166" i="6"/>
  <c r="E165" i="6"/>
  <c r="D165" i="6"/>
  <c r="C162" i="6"/>
  <c r="B162" i="6"/>
  <c r="C161" i="6"/>
  <c r="E161" i="6" s="1"/>
  <c r="B161" i="6"/>
  <c r="C160" i="6"/>
  <c r="C163" i="6" s="1"/>
  <c r="B160" i="6"/>
  <c r="E159" i="6"/>
  <c r="C159" i="6"/>
  <c r="B159" i="6"/>
  <c r="D159" i="6" s="1"/>
  <c r="E158" i="6"/>
  <c r="D158" i="6"/>
  <c r="C157" i="6"/>
  <c r="E157" i="6" s="1"/>
  <c r="E156" i="6"/>
  <c r="C156" i="6"/>
  <c r="B156" i="6"/>
  <c r="B157" i="6" s="1"/>
  <c r="E155" i="6"/>
  <c r="D155" i="6"/>
  <c r="C153" i="6"/>
  <c r="B153" i="6"/>
  <c r="E152" i="6"/>
  <c r="C152" i="6"/>
  <c r="B152" i="6"/>
  <c r="D152" i="6" s="1"/>
  <c r="C151" i="6"/>
  <c r="B151" i="6"/>
  <c r="C150" i="6"/>
  <c r="E150" i="6" s="1"/>
  <c r="B150" i="6"/>
  <c r="C149" i="6"/>
  <c r="B149" i="6"/>
  <c r="E148" i="6"/>
  <c r="C148" i="6"/>
  <c r="B148" i="6"/>
  <c r="D148" i="6" s="1"/>
  <c r="C147" i="6"/>
  <c r="B147" i="6"/>
  <c r="C146" i="6"/>
  <c r="C154" i="6" s="1"/>
  <c r="B146" i="6"/>
  <c r="E145" i="6"/>
  <c r="D145" i="6"/>
  <c r="E144" i="6"/>
  <c r="C144" i="6"/>
  <c r="E143" i="6"/>
  <c r="C143" i="6"/>
  <c r="B143" i="6"/>
  <c r="B144" i="6" s="1"/>
  <c r="D144" i="6" s="1"/>
  <c r="E142" i="6"/>
  <c r="D142" i="6"/>
  <c r="E140" i="6"/>
  <c r="B140" i="6"/>
  <c r="D140" i="6" s="1"/>
  <c r="E139" i="6"/>
  <c r="D139" i="6"/>
  <c r="B139" i="6"/>
  <c r="E138" i="6"/>
  <c r="C138" i="6"/>
  <c r="B138" i="6"/>
  <c r="D138" i="6" s="1"/>
  <c r="C137" i="6"/>
  <c r="D137" i="6" s="1"/>
  <c r="B137" i="6"/>
  <c r="E136" i="6"/>
  <c r="C136" i="6"/>
  <c r="B136" i="6"/>
  <c r="D136" i="6" s="1"/>
  <c r="C135" i="6"/>
  <c r="D135" i="6" s="1"/>
  <c r="B135" i="6"/>
  <c r="E134" i="6"/>
  <c r="C134" i="6"/>
  <c r="B134" i="6"/>
  <c r="D134" i="6" s="1"/>
  <c r="C133" i="6"/>
  <c r="D133" i="6" s="1"/>
  <c r="B133" i="6"/>
  <c r="E132" i="6"/>
  <c r="C132" i="6"/>
  <c r="B132" i="6"/>
  <c r="D132" i="6" s="1"/>
  <c r="C131" i="6"/>
  <c r="D131" i="6" s="1"/>
  <c r="B131" i="6"/>
  <c r="E130" i="6"/>
  <c r="C130" i="6"/>
  <c r="B130" i="6"/>
  <c r="D130" i="6" s="1"/>
  <c r="C129" i="6"/>
  <c r="D129" i="6" s="1"/>
  <c r="B129" i="6"/>
  <c r="E128" i="6"/>
  <c r="C128" i="6"/>
  <c r="B128" i="6"/>
  <c r="D128" i="6" s="1"/>
  <c r="C127" i="6"/>
  <c r="D127" i="6" s="1"/>
  <c r="B127" i="6"/>
  <c r="E126" i="6"/>
  <c r="C126" i="6"/>
  <c r="B126" i="6"/>
  <c r="D126" i="6" s="1"/>
  <c r="C125" i="6"/>
  <c r="D125" i="6" s="1"/>
  <c r="D124" i="6"/>
  <c r="C124" i="6"/>
  <c r="E124" i="6" s="1"/>
  <c r="C123" i="6"/>
  <c r="B123" i="6"/>
  <c r="C122" i="6"/>
  <c r="E122" i="6" s="1"/>
  <c r="B122" i="6"/>
  <c r="C121" i="6"/>
  <c r="B121" i="6"/>
  <c r="E120" i="6"/>
  <c r="C120" i="6"/>
  <c r="B120" i="6"/>
  <c r="D120" i="6" s="1"/>
  <c r="C119" i="6"/>
  <c r="B119" i="6"/>
  <c r="C118" i="6"/>
  <c r="E118" i="6" s="1"/>
  <c r="B118" i="6"/>
  <c r="C117" i="6"/>
  <c r="B117" i="6"/>
  <c r="E116" i="6"/>
  <c r="C116" i="6"/>
  <c r="B116" i="6"/>
  <c r="D116" i="6" s="1"/>
  <c r="C115" i="6"/>
  <c r="B115" i="6"/>
  <c r="C114" i="6"/>
  <c r="E114" i="6" s="1"/>
  <c r="B114" i="6"/>
  <c r="C113" i="6"/>
  <c r="B113" i="6"/>
  <c r="E112" i="6"/>
  <c r="C112" i="6"/>
  <c r="B112" i="6"/>
  <c r="D112" i="6" s="1"/>
  <c r="C111" i="6"/>
  <c r="B111" i="6"/>
  <c r="C110" i="6"/>
  <c r="E110" i="6" s="1"/>
  <c r="B110" i="6"/>
  <c r="C109" i="6"/>
  <c r="B109" i="6"/>
  <c r="E108" i="6"/>
  <c r="C108" i="6"/>
  <c r="B108" i="6"/>
  <c r="D108" i="6" s="1"/>
  <c r="C107" i="6"/>
  <c r="B107" i="6"/>
  <c r="C106" i="6"/>
  <c r="E106" i="6" s="1"/>
  <c r="B106" i="6"/>
  <c r="C105" i="6"/>
  <c r="B105" i="6"/>
  <c r="E104" i="6"/>
  <c r="C104" i="6"/>
  <c r="B104" i="6"/>
  <c r="D104" i="6" s="1"/>
  <c r="C103" i="6"/>
  <c r="B103" i="6"/>
  <c r="C102" i="6"/>
  <c r="E102" i="6" s="1"/>
  <c r="B102" i="6"/>
  <c r="C101" i="6"/>
  <c r="B101" i="6"/>
  <c r="E100" i="6"/>
  <c r="C100" i="6"/>
  <c r="B100" i="6"/>
  <c r="D100" i="6" s="1"/>
  <c r="C99" i="6"/>
  <c r="B99" i="6"/>
  <c r="C98" i="6"/>
  <c r="E98" i="6" s="1"/>
  <c r="B98" i="6"/>
  <c r="C97" i="6"/>
  <c r="B97" i="6"/>
  <c r="E96" i="6"/>
  <c r="C96" i="6"/>
  <c r="B96" i="6"/>
  <c r="D96" i="6" s="1"/>
  <c r="C95" i="6"/>
  <c r="B95" i="6"/>
  <c r="C94" i="6"/>
  <c r="E94" i="6" s="1"/>
  <c r="B94" i="6"/>
  <c r="C93" i="6"/>
  <c r="B93" i="6"/>
  <c r="E92" i="6"/>
  <c r="C92" i="6"/>
  <c r="B92" i="6"/>
  <c r="D92" i="6" s="1"/>
  <c r="C91" i="6"/>
  <c r="B91" i="6"/>
  <c r="C90" i="6"/>
  <c r="E90" i="6" s="1"/>
  <c r="B90" i="6"/>
  <c r="C89" i="6"/>
  <c r="B89" i="6"/>
  <c r="E88" i="6"/>
  <c r="C88" i="6"/>
  <c r="B88" i="6"/>
  <c r="D88" i="6" s="1"/>
  <c r="C87" i="6"/>
  <c r="B87" i="6"/>
  <c r="C86" i="6"/>
  <c r="D86" i="6" s="1"/>
  <c r="C85" i="6"/>
  <c r="B85" i="6"/>
  <c r="D85" i="6" s="1"/>
  <c r="C84" i="6"/>
  <c r="B84" i="6"/>
  <c r="E84" i="6" s="1"/>
  <c r="C83" i="6"/>
  <c r="E83" i="6" s="1"/>
  <c r="B83" i="6"/>
  <c r="D83" i="6" s="1"/>
  <c r="C82" i="6"/>
  <c r="B82" i="6"/>
  <c r="E82" i="6" s="1"/>
  <c r="C81" i="6"/>
  <c r="B81" i="6"/>
  <c r="D81" i="6" s="1"/>
  <c r="C80" i="6"/>
  <c r="B80" i="6"/>
  <c r="E80" i="6" s="1"/>
  <c r="C79" i="6"/>
  <c r="E79" i="6" s="1"/>
  <c r="B79" i="6"/>
  <c r="D79" i="6" s="1"/>
  <c r="D78" i="6"/>
  <c r="C78" i="6"/>
  <c r="B78" i="6"/>
  <c r="E78" i="6" s="1"/>
  <c r="C77" i="6"/>
  <c r="B77" i="6"/>
  <c r="D77" i="6" s="1"/>
  <c r="D76" i="6"/>
  <c r="C76" i="6"/>
  <c r="B76" i="6"/>
  <c r="E76" i="6" s="1"/>
  <c r="C75" i="6"/>
  <c r="E75" i="6" s="1"/>
  <c r="B75" i="6"/>
  <c r="D75" i="6" s="1"/>
  <c r="D74" i="6"/>
  <c r="C74" i="6"/>
  <c r="B74" i="6"/>
  <c r="E74" i="6" s="1"/>
  <c r="C73" i="6"/>
  <c r="B73" i="6"/>
  <c r="D73" i="6" s="1"/>
  <c r="D72" i="6"/>
  <c r="C72" i="6"/>
  <c r="B72" i="6"/>
  <c r="E72" i="6" s="1"/>
  <c r="C71" i="6"/>
  <c r="E71" i="6" s="1"/>
  <c r="B71" i="6"/>
  <c r="D71" i="6" s="1"/>
  <c r="C70" i="6"/>
  <c r="B70" i="6"/>
  <c r="E70" i="6" s="1"/>
  <c r="C69" i="6"/>
  <c r="B69" i="6"/>
  <c r="D69" i="6" s="1"/>
  <c r="C68" i="6"/>
  <c r="B68" i="6"/>
  <c r="E68" i="6" s="1"/>
  <c r="C67" i="6"/>
  <c r="E67" i="6" s="1"/>
  <c r="B67" i="6"/>
  <c r="D67" i="6" s="1"/>
  <c r="C66" i="6"/>
  <c r="B66" i="6"/>
  <c r="E66" i="6" s="1"/>
  <c r="C65" i="6"/>
  <c r="B65" i="6"/>
  <c r="E64" i="6"/>
  <c r="D64" i="6"/>
  <c r="E63" i="6"/>
  <c r="D63" i="6"/>
  <c r="C59" i="6"/>
  <c r="E59" i="6" s="1"/>
  <c r="B59" i="6"/>
  <c r="D59" i="6" s="1"/>
  <c r="E58" i="6"/>
  <c r="D58" i="6"/>
  <c r="B58" i="6"/>
  <c r="E57" i="6"/>
  <c r="D57" i="6"/>
  <c r="E55" i="6"/>
  <c r="C55" i="6"/>
  <c r="E54" i="6"/>
  <c r="B54" i="6"/>
  <c r="E53" i="6"/>
  <c r="D53" i="6"/>
  <c r="B51" i="6"/>
  <c r="D50" i="6"/>
  <c r="C50" i="6"/>
  <c r="E50" i="6" s="1"/>
  <c r="C49" i="6"/>
  <c r="E48" i="6"/>
  <c r="D48" i="6"/>
  <c r="C48" i="6"/>
  <c r="E47" i="6"/>
  <c r="D47" i="6"/>
  <c r="E45" i="6"/>
  <c r="C45" i="6"/>
  <c r="D45" i="6" s="1"/>
  <c r="C44" i="6"/>
  <c r="E44" i="6" s="1"/>
  <c r="B44" i="6"/>
  <c r="D44" i="6" s="1"/>
  <c r="E43" i="6"/>
  <c r="C43" i="6"/>
  <c r="B43" i="6"/>
  <c r="D43" i="6" s="1"/>
  <c r="C42" i="6"/>
  <c r="E42" i="6" s="1"/>
  <c r="B42" i="6"/>
  <c r="E41" i="6"/>
  <c r="D41" i="6"/>
  <c r="E40" i="6"/>
  <c r="D40" i="6"/>
  <c r="E38" i="6"/>
  <c r="D38" i="6"/>
  <c r="B38" i="6"/>
  <c r="E37" i="6"/>
  <c r="D37" i="6"/>
  <c r="B37" i="6"/>
  <c r="C36" i="6"/>
  <c r="E36" i="6" s="1"/>
  <c r="B36" i="6"/>
  <c r="D36" i="6" s="1"/>
  <c r="D34" i="6"/>
  <c r="C34" i="6"/>
  <c r="E34" i="6" s="1"/>
  <c r="C33" i="6"/>
  <c r="C35" i="6" s="1"/>
  <c r="B33" i="6"/>
  <c r="E32" i="6"/>
  <c r="D32" i="6"/>
  <c r="E31" i="6"/>
  <c r="D31" i="6"/>
  <c r="C29" i="6"/>
  <c r="C28" i="6"/>
  <c r="E28" i="6" s="1"/>
  <c r="B28" i="6"/>
  <c r="C27" i="6"/>
  <c r="E27" i="6" s="1"/>
  <c r="B27" i="6"/>
  <c r="E26" i="6"/>
  <c r="C26" i="6"/>
  <c r="B26" i="6"/>
  <c r="D26" i="6" s="1"/>
  <c r="E25" i="6"/>
  <c r="B25" i="6"/>
  <c r="E24" i="6"/>
  <c r="D24" i="6"/>
  <c r="C22" i="6"/>
  <c r="E22" i="6" s="1"/>
  <c r="B22" i="6"/>
  <c r="D22" i="6" s="1"/>
  <c r="D21" i="6"/>
  <c r="C21" i="6"/>
  <c r="E21" i="6" s="1"/>
  <c r="B21" i="6"/>
  <c r="E20" i="6"/>
  <c r="D20" i="6"/>
  <c r="C19" i="6"/>
  <c r="B19" i="6"/>
  <c r="E19" i="6" s="1"/>
  <c r="C18" i="6"/>
  <c r="B18" i="6"/>
  <c r="E17" i="6"/>
  <c r="D17" i="6"/>
  <c r="C17" i="6"/>
  <c r="E16" i="6"/>
  <c r="D16" i="6"/>
  <c r="B16" i="6"/>
  <c r="E15" i="6"/>
  <c r="D15" i="6"/>
  <c r="B15" i="6"/>
  <c r="E14" i="6"/>
  <c r="C14" i="6"/>
  <c r="B14" i="6"/>
  <c r="D14" i="6" s="1"/>
  <c r="C13" i="6"/>
  <c r="B12" i="6"/>
  <c r="E11" i="6"/>
  <c r="D11" i="6"/>
  <c r="C11" i="6"/>
  <c r="C10" i="6"/>
  <c r="E10" i="6" s="1"/>
  <c r="B10" i="6"/>
  <c r="E9" i="6"/>
  <c r="D9" i="6"/>
  <c r="E8" i="6"/>
  <c r="D8" i="6"/>
  <c r="F125" i="2" l="1"/>
  <c r="B148" i="2"/>
  <c r="B25" i="2"/>
  <c r="F10" i="2"/>
  <c r="C148" i="2"/>
  <c r="F184" i="2"/>
  <c r="E25" i="2"/>
  <c r="E47" i="2" s="1"/>
  <c r="E48" i="2" s="1"/>
  <c r="F18" i="2"/>
  <c r="F24" i="2"/>
  <c r="D43" i="2"/>
  <c r="D148" i="2"/>
  <c r="C242" i="2"/>
  <c r="D47" i="2"/>
  <c r="D48" i="2" s="1"/>
  <c r="E148" i="2"/>
  <c r="E243" i="2" s="1"/>
  <c r="F138" i="2"/>
  <c r="D188" i="2"/>
  <c r="D242" i="2" s="1"/>
  <c r="F225" i="2"/>
  <c r="B227" i="2"/>
  <c r="F227" i="2" s="1"/>
  <c r="F206" i="2"/>
  <c r="C47" i="2"/>
  <c r="C48" i="2" s="1"/>
  <c r="F128" i="2"/>
  <c r="F141" i="2"/>
  <c r="F32" i="2"/>
  <c r="D184" i="2"/>
  <c r="F20" i="2"/>
  <c r="B158" i="2"/>
  <c r="F158" i="2" s="1"/>
  <c r="B193" i="2"/>
  <c r="F193" i="2" s="1"/>
  <c r="F203" i="2"/>
  <c r="B211" i="2"/>
  <c r="F211" i="2" s="1"/>
  <c r="F247" i="2"/>
  <c r="B251" i="2"/>
  <c r="F38" i="2"/>
  <c r="B43" i="2"/>
  <c r="F43" i="2" s="1"/>
  <c r="F52" i="2"/>
  <c r="F160" i="2"/>
  <c r="F166" i="2"/>
  <c r="B188" i="2"/>
  <c r="F219" i="2"/>
  <c r="F240" i="2"/>
  <c r="F127" i="2"/>
  <c r="E164" i="2"/>
  <c r="F164" i="2" s="1"/>
  <c r="F168" i="2"/>
  <c r="E172" i="2"/>
  <c r="F172" i="2" s="1"/>
  <c r="F195" i="2"/>
  <c r="F45" i="2"/>
  <c r="F143" i="2"/>
  <c r="C220" i="2"/>
  <c r="F220" i="2" s="1"/>
  <c r="E238" i="2"/>
  <c r="F238" i="2" s="1"/>
  <c r="E188" i="2"/>
  <c r="E242" i="2" s="1"/>
  <c r="F9" i="2"/>
  <c r="F130" i="2"/>
  <c r="E48" i="3"/>
  <c r="C132" i="3"/>
  <c r="E58" i="3"/>
  <c r="E141" i="3"/>
  <c r="D141" i="3"/>
  <c r="E182" i="3"/>
  <c r="D182" i="3"/>
  <c r="D220" i="3"/>
  <c r="E24" i="3"/>
  <c r="D24" i="3"/>
  <c r="D135" i="3"/>
  <c r="D173" i="3"/>
  <c r="D200" i="3"/>
  <c r="D253" i="3"/>
  <c r="E17" i="3"/>
  <c r="D17" i="3"/>
  <c r="C44" i="3"/>
  <c r="E43" i="3"/>
  <c r="D43" i="3"/>
  <c r="D60" i="3"/>
  <c r="D64" i="3"/>
  <c r="D68" i="3"/>
  <c r="D72" i="3"/>
  <c r="D76" i="3"/>
  <c r="D80" i="3"/>
  <c r="D84" i="3"/>
  <c r="D88" i="3"/>
  <c r="D92" i="3"/>
  <c r="D96" i="3"/>
  <c r="D100" i="3"/>
  <c r="D104" i="3"/>
  <c r="D108" i="3"/>
  <c r="D112" i="3"/>
  <c r="D116" i="3"/>
  <c r="D120" i="3"/>
  <c r="D124" i="3"/>
  <c r="E158" i="3"/>
  <c r="D169" i="3"/>
  <c r="D12" i="3"/>
  <c r="C135" i="3"/>
  <c r="E135" i="3" s="1"/>
  <c r="E134" i="3"/>
  <c r="B152" i="3"/>
  <c r="D152" i="3" s="1"/>
  <c r="E150" i="3"/>
  <c r="D150" i="3"/>
  <c r="C201" i="3"/>
  <c r="E162" i="3"/>
  <c r="E206" i="3"/>
  <c r="E139" i="3"/>
  <c r="D139" i="3"/>
  <c r="C148" i="3"/>
  <c r="E148" i="3" s="1"/>
  <c r="E143" i="3"/>
  <c r="D143" i="3"/>
  <c r="D195" i="3"/>
  <c r="E225" i="3"/>
  <c r="C242" i="3"/>
  <c r="E242" i="3" s="1"/>
  <c r="E239" i="3"/>
  <c r="D239" i="3"/>
  <c r="D26" i="3"/>
  <c r="C33" i="3"/>
  <c r="E31" i="3"/>
  <c r="D148" i="3"/>
  <c r="E175" i="3"/>
  <c r="E267" i="3"/>
  <c r="C269" i="3"/>
  <c r="E15" i="3"/>
  <c r="D15" i="3"/>
  <c r="C27" i="3"/>
  <c r="E26" i="3"/>
  <c r="E198" i="3"/>
  <c r="D198" i="3"/>
  <c r="E41" i="3"/>
  <c r="D41" i="3"/>
  <c r="B159" i="3"/>
  <c r="D234" i="3"/>
  <c r="D242" i="3"/>
  <c r="E10" i="3"/>
  <c r="E19" i="3"/>
  <c r="D31" i="3"/>
  <c r="D58" i="3"/>
  <c r="D134" i="3"/>
  <c r="D162" i="3"/>
  <c r="D171" i="3"/>
  <c r="E222" i="3"/>
  <c r="D236" i="3"/>
  <c r="D229" i="3"/>
  <c r="B257" i="3"/>
  <c r="D264" i="3"/>
  <c r="D266" i="3"/>
  <c r="D268" i="3"/>
  <c r="B27" i="3"/>
  <c r="D27" i="3" s="1"/>
  <c r="B44" i="3"/>
  <c r="B158" i="3"/>
  <c r="D158" i="3" s="1"/>
  <c r="B214" i="3"/>
  <c r="C234" i="3"/>
  <c r="E234" i="3" s="1"/>
  <c r="C257" i="3"/>
  <c r="E257" i="3" s="1"/>
  <c r="B183" i="3"/>
  <c r="D183" i="3" s="1"/>
  <c r="C214" i="3"/>
  <c r="E214" i="3" s="1"/>
  <c r="B230" i="3"/>
  <c r="D230" i="3" s="1"/>
  <c r="B267" i="3"/>
  <c r="D151" i="3"/>
  <c r="E185" i="3"/>
  <c r="D199" i="3"/>
  <c r="D16" i="3"/>
  <c r="D23" i="3"/>
  <c r="D40" i="3"/>
  <c r="D42" i="3"/>
  <c r="D140" i="3"/>
  <c r="D142" i="3"/>
  <c r="D156" i="3"/>
  <c r="D181" i="3"/>
  <c r="D197" i="3"/>
  <c r="D228" i="3"/>
  <c r="E154" i="6"/>
  <c r="C39" i="6"/>
  <c r="E101" i="6"/>
  <c r="D101" i="6"/>
  <c r="E117" i="6"/>
  <c r="D117" i="6"/>
  <c r="C141" i="6"/>
  <c r="E189" i="6"/>
  <c r="D189" i="6"/>
  <c r="E212" i="6"/>
  <c r="B226" i="6"/>
  <c r="E223" i="6"/>
  <c r="D223" i="6"/>
  <c r="D239" i="6"/>
  <c r="E239" i="6"/>
  <c r="E13" i="6"/>
  <c r="D13" i="6"/>
  <c r="E33" i="6"/>
  <c r="E69" i="6"/>
  <c r="E85" i="6"/>
  <c r="E95" i="6"/>
  <c r="D95" i="6"/>
  <c r="D102" i="6"/>
  <c r="E111" i="6"/>
  <c r="D111" i="6"/>
  <c r="D118" i="6"/>
  <c r="E127" i="6"/>
  <c r="E135" i="6"/>
  <c r="E151" i="6"/>
  <c r="D151" i="6"/>
  <c r="E169" i="6"/>
  <c r="D169" i="6"/>
  <c r="B190" i="6"/>
  <c r="D190" i="6" s="1"/>
  <c r="D183" i="6"/>
  <c r="C190" i="6"/>
  <c r="B220" i="6"/>
  <c r="D220" i="6" s="1"/>
  <c r="D246" i="6"/>
  <c r="E246" i="6"/>
  <c r="E29" i="6"/>
  <c r="D66" i="6"/>
  <c r="D186" i="6"/>
  <c r="E105" i="6"/>
  <c r="D105" i="6"/>
  <c r="D27" i="6"/>
  <c r="B46" i="6"/>
  <c r="D42" i="6"/>
  <c r="C51" i="6"/>
  <c r="E51" i="6" s="1"/>
  <c r="E49" i="6"/>
  <c r="D49" i="6"/>
  <c r="B55" i="6"/>
  <c r="D55" i="6" s="1"/>
  <c r="D54" i="6"/>
  <c r="E73" i="6"/>
  <c r="E86" i="6"/>
  <c r="D90" i="6"/>
  <c r="E99" i="6"/>
  <c r="D99" i="6"/>
  <c r="D106" i="6"/>
  <c r="E115" i="6"/>
  <c r="D115" i="6"/>
  <c r="D122" i="6"/>
  <c r="E125" i="6"/>
  <c r="E133" i="6"/>
  <c r="D146" i="6"/>
  <c r="D157" i="6"/>
  <c r="E162" i="6"/>
  <c r="D162" i="6"/>
  <c r="B207" i="6"/>
  <c r="E220" i="6"/>
  <c r="D229" i="6"/>
  <c r="E236" i="6"/>
  <c r="D10" i="6"/>
  <c r="C12" i="6"/>
  <c r="D19" i="6"/>
  <c r="D82" i="6"/>
  <c r="E89" i="6"/>
  <c r="D89" i="6"/>
  <c r="D210" i="6"/>
  <c r="E210" i="6"/>
  <c r="D70" i="6"/>
  <c r="E93" i="6"/>
  <c r="D93" i="6"/>
  <c r="E109" i="6"/>
  <c r="D109" i="6"/>
  <c r="E149" i="6"/>
  <c r="D149" i="6"/>
  <c r="E167" i="6"/>
  <c r="D167" i="6"/>
  <c r="D214" i="6"/>
  <c r="D276" i="6"/>
  <c r="B278" i="6"/>
  <c r="E121" i="6"/>
  <c r="D121" i="6"/>
  <c r="D199" i="6"/>
  <c r="E199" i="6"/>
  <c r="B23" i="6"/>
  <c r="D23" i="6" s="1"/>
  <c r="D28" i="6"/>
  <c r="C46" i="6"/>
  <c r="E77" i="6"/>
  <c r="D80" i="6"/>
  <c r="E87" i="6"/>
  <c r="D87" i="6"/>
  <c r="D94" i="6"/>
  <c r="E103" i="6"/>
  <c r="D103" i="6"/>
  <c r="D110" i="6"/>
  <c r="E119" i="6"/>
  <c r="D119" i="6"/>
  <c r="E131" i="6"/>
  <c r="E146" i="6"/>
  <c r="D150" i="6"/>
  <c r="D168" i="6"/>
  <c r="D180" i="6"/>
  <c r="D184" i="6"/>
  <c r="E197" i="6"/>
  <c r="D225" i="6"/>
  <c r="E225" i="6"/>
  <c r="B241" i="6"/>
  <c r="D241" i="6" s="1"/>
  <c r="D248" i="6"/>
  <c r="E248" i="6"/>
  <c r="B29" i="6"/>
  <c r="D29" i="6" s="1"/>
  <c r="D25" i="6"/>
  <c r="B141" i="6"/>
  <c r="D65" i="6"/>
  <c r="E153" i="6"/>
  <c r="D153" i="6"/>
  <c r="E18" i="6"/>
  <c r="D18" i="6"/>
  <c r="E97" i="6"/>
  <c r="D97" i="6"/>
  <c r="E113" i="6"/>
  <c r="D113" i="6"/>
  <c r="E160" i="6"/>
  <c r="D160" i="6"/>
  <c r="B30" i="6"/>
  <c r="D33" i="6"/>
  <c r="E65" i="6"/>
  <c r="D68" i="6"/>
  <c r="E81" i="6"/>
  <c r="D84" i="6"/>
  <c r="E91" i="6"/>
  <c r="D91" i="6"/>
  <c r="D98" i="6"/>
  <c r="E107" i="6"/>
  <c r="D107" i="6"/>
  <c r="D114" i="6"/>
  <c r="E123" i="6"/>
  <c r="D123" i="6"/>
  <c r="E129" i="6"/>
  <c r="E137" i="6"/>
  <c r="E147" i="6"/>
  <c r="D147" i="6"/>
  <c r="D161" i="6"/>
  <c r="D178" i="6"/>
  <c r="E185" i="6"/>
  <c r="D195" i="6"/>
  <c r="E195" i="6"/>
  <c r="D201" i="6"/>
  <c r="E201" i="6"/>
  <c r="B212" i="6"/>
  <c r="D212" i="6" s="1"/>
  <c r="D234" i="6"/>
  <c r="E234" i="6"/>
  <c r="C278" i="6"/>
  <c r="E276" i="6"/>
  <c r="D255" i="6"/>
  <c r="B202" i="6"/>
  <c r="D202" i="6" s="1"/>
  <c r="D228" i="6"/>
  <c r="D230" i="6"/>
  <c r="D232" i="6"/>
  <c r="E253" i="6"/>
  <c r="E257" i="6"/>
  <c r="E259" i="6"/>
  <c r="D264" i="6"/>
  <c r="D272" i="6"/>
  <c r="B35" i="6"/>
  <c r="E35" i="6" s="1"/>
  <c r="D174" i="6"/>
  <c r="C226" i="6"/>
  <c r="E226" i="6" s="1"/>
  <c r="C247" i="6"/>
  <c r="E247" i="6" s="1"/>
  <c r="D249" i="6"/>
  <c r="C23" i="6"/>
  <c r="D143" i="6"/>
  <c r="B154" i="6"/>
  <c r="D154" i="6" s="1"/>
  <c r="D156" i="6"/>
  <c r="B163" i="6"/>
  <c r="D163" i="6" s="1"/>
  <c r="C181" i="6"/>
  <c r="C207" i="6" s="1"/>
  <c r="B231" i="6"/>
  <c r="D231" i="6" s="1"/>
  <c r="E209" i="6"/>
  <c r="E238" i="6"/>
  <c r="E252" i="6"/>
  <c r="D263" i="6"/>
  <c r="E273" i="6"/>
  <c r="E263" i="6"/>
  <c r="D11" i="1"/>
  <c r="D21" i="1"/>
  <c r="D19" i="1"/>
  <c r="D18" i="1"/>
  <c r="D17" i="1"/>
  <c r="D15" i="1"/>
  <c r="D14" i="1"/>
  <c r="D13" i="1"/>
  <c r="D12" i="1"/>
  <c r="D10" i="1"/>
  <c r="D8" i="1"/>
  <c r="B9" i="1"/>
  <c r="B19" i="1"/>
  <c r="B17" i="1"/>
  <c r="B16" i="1"/>
  <c r="B15" i="1"/>
  <c r="B13" i="1"/>
  <c r="B11" i="1"/>
  <c r="B21" i="1"/>
  <c r="B12" i="1"/>
  <c r="B10" i="1"/>
  <c r="B8" i="1"/>
  <c r="D7" i="1"/>
  <c r="B7" i="1"/>
  <c r="B242" i="2" l="1"/>
  <c r="F242" i="2" s="1"/>
  <c r="F188" i="2"/>
  <c r="C243" i="2"/>
  <c r="C244" i="2" s="1"/>
  <c r="C255" i="2" s="1"/>
  <c r="D243" i="2"/>
  <c r="D244" i="2" s="1"/>
  <c r="D255" i="2" s="1"/>
  <c r="B47" i="2"/>
  <c r="F25" i="2"/>
  <c r="F251" i="2"/>
  <c r="B253" i="2"/>
  <c r="F148" i="2"/>
  <c r="B243" i="2"/>
  <c r="E244" i="2"/>
  <c r="E255" i="2" s="1"/>
  <c r="E132" i="3"/>
  <c r="C159" i="3"/>
  <c r="D159" i="3" s="1"/>
  <c r="D257" i="3"/>
  <c r="C270" i="3"/>
  <c r="E27" i="3"/>
  <c r="C37" i="3"/>
  <c r="E33" i="3"/>
  <c r="D33" i="3"/>
  <c r="E230" i="3"/>
  <c r="D132" i="3"/>
  <c r="B28" i="3"/>
  <c r="C258" i="3"/>
  <c r="D214" i="3"/>
  <c r="C28" i="3"/>
  <c r="E183" i="3"/>
  <c r="D267" i="3"/>
  <c r="B269" i="3"/>
  <c r="B45" i="3"/>
  <c r="D44" i="3"/>
  <c r="E152" i="3"/>
  <c r="E44" i="3"/>
  <c r="C45" i="3"/>
  <c r="E45" i="3" s="1"/>
  <c r="B201" i="3"/>
  <c r="E201" i="3" s="1"/>
  <c r="E207" i="6"/>
  <c r="C267" i="6"/>
  <c r="E267" i="6" s="1"/>
  <c r="E241" i="6"/>
  <c r="E12" i="6"/>
  <c r="D12" i="6"/>
  <c r="C30" i="6"/>
  <c r="B164" i="6"/>
  <c r="D141" i="6"/>
  <c r="D51" i="6"/>
  <c r="E23" i="6"/>
  <c r="C164" i="6"/>
  <c r="E141" i="6"/>
  <c r="E231" i="6"/>
  <c r="D278" i="6"/>
  <c r="B279" i="6"/>
  <c r="E181" i="6"/>
  <c r="D181" i="6"/>
  <c r="B18" i="1"/>
  <c r="B39" i="6"/>
  <c r="D35" i="6"/>
  <c r="D247" i="6"/>
  <c r="E278" i="6"/>
  <c r="C279" i="6"/>
  <c r="E279" i="6" s="1"/>
  <c r="B52" i="6"/>
  <c r="D46" i="6"/>
  <c r="E202" i="6"/>
  <c r="C250" i="6"/>
  <c r="C52" i="6"/>
  <c r="E52" i="6" s="1"/>
  <c r="E46" i="6"/>
  <c r="B267" i="6"/>
  <c r="D267" i="6" s="1"/>
  <c r="D207" i="6"/>
  <c r="D16" i="1"/>
  <c r="E190" i="6"/>
  <c r="D226" i="6"/>
  <c r="E163" i="6"/>
  <c r="B48" i="2" l="1"/>
  <c r="F47" i="2"/>
  <c r="F243" i="2"/>
  <c r="B254" i="2"/>
  <c r="F254" i="2" s="1"/>
  <c r="F253" i="2"/>
  <c r="E37" i="3"/>
  <c r="C49" i="3"/>
  <c r="E49" i="3" s="1"/>
  <c r="D37" i="3"/>
  <c r="B258" i="3"/>
  <c r="D201" i="3"/>
  <c r="C259" i="3"/>
  <c r="E159" i="3"/>
  <c r="D45" i="3"/>
  <c r="B49" i="3"/>
  <c r="D49" i="3" s="1"/>
  <c r="B53" i="3"/>
  <c r="D28" i="3"/>
  <c r="D269" i="3"/>
  <c r="B270" i="3"/>
  <c r="D270" i="3" s="1"/>
  <c r="E28" i="3"/>
  <c r="E269" i="3"/>
  <c r="E250" i="6"/>
  <c r="D250" i="6"/>
  <c r="B56" i="6"/>
  <c r="D39" i="6"/>
  <c r="B14" i="1"/>
  <c r="C268" i="6"/>
  <c r="E164" i="6"/>
  <c r="C60" i="6"/>
  <c r="E30" i="6"/>
  <c r="E39" i="6"/>
  <c r="D52" i="6"/>
  <c r="C56" i="6"/>
  <c r="E56" i="6" s="1"/>
  <c r="D279" i="6"/>
  <c r="B268" i="6"/>
  <c r="D268" i="6" s="1"/>
  <c r="D164" i="6"/>
  <c r="D30" i="6"/>
  <c r="F48" i="2" l="1"/>
  <c r="B244" i="2"/>
  <c r="C53" i="3"/>
  <c r="D53" i="3" s="1"/>
  <c r="E270" i="3"/>
  <c r="E259" i="3"/>
  <c r="D258" i="3"/>
  <c r="B259" i="3"/>
  <c r="D259" i="3" s="1"/>
  <c r="B54" i="3"/>
  <c r="E258" i="3"/>
  <c r="C61" i="6"/>
  <c r="E268" i="6"/>
  <c r="D56" i="6"/>
  <c r="B60" i="6"/>
  <c r="H68" i="1"/>
  <c r="F244" i="2" l="1"/>
  <c r="B255" i="2"/>
  <c r="F255" i="2" s="1"/>
  <c r="B260" i="3"/>
  <c r="D54" i="3"/>
  <c r="E53" i="3"/>
  <c r="C54" i="3"/>
  <c r="D60" i="6"/>
  <c r="B61" i="6"/>
  <c r="C269" i="6"/>
  <c r="E61" i="6"/>
  <c r="E60" i="6"/>
  <c r="B271" i="3" l="1"/>
  <c r="C260" i="3"/>
  <c r="E54" i="3"/>
  <c r="C280" i="6"/>
  <c r="B269" i="6"/>
  <c r="D61" i="6"/>
  <c r="C271" i="3" l="1"/>
  <c r="E271" i="3" s="1"/>
  <c r="E260" i="3"/>
  <c r="D260" i="3"/>
  <c r="B280" i="6"/>
  <c r="D280" i="6" s="1"/>
  <c r="D269" i="6"/>
  <c r="E269" i="6"/>
  <c r="E280" i="6"/>
  <c r="D271" i="3" l="1"/>
  <c r="D9" i="1" l="1"/>
  <c r="B6" i="1"/>
  <c r="B31" i="1" l="1"/>
  <c r="B20" i="1" l="1"/>
  <c r="B22" i="1" s="1"/>
  <c r="B46" i="1"/>
  <c r="B47" i="1" s="1"/>
  <c r="B49" i="1" s="1"/>
  <c r="H48" i="1"/>
  <c r="H31" i="1"/>
  <c r="H21" i="1"/>
  <c r="B51" i="1" l="1"/>
  <c r="H65" i="1" l="1"/>
  <c r="H60" i="1"/>
  <c r="H59" i="1"/>
  <c r="H58" i="1"/>
  <c r="H57" i="1"/>
  <c r="H56" i="1"/>
  <c r="D6" i="1"/>
  <c r="H64" i="1" l="1"/>
  <c r="D66" i="1" s="1"/>
  <c r="H63" i="1"/>
  <c r="H62" i="1"/>
  <c r="D65" i="1" s="1"/>
  <c r="H61" i="1"/>
  <c r="D67" i="1" s="1"/>
  <c r="D57" i="1"/>
  <c r="F42" i="1"/>
  <c r="F34" i="1"/>
  <c r="F28" i="1"/>
  <c r="F26" i="1"/>
  <c r="F25" i="1"/>
  <c r="F11" i="1"/>
  <c r="F19" i="1"/>
  <c r="F8" i="1"/>
  <c r="H66" i="1" l="1"/>
  <c r="H69" i="1" s="1"/>
  <c r="F16" i="1"/>
  <c r="F7" i="1"/>
  <c r="B67" i="1"/>
  <c r="F48" i="1"/>
  <c r="F44" i="1"/>
  <c r="F9" i="1"/>
  <c r="F14" i="1"/>
  <c r="F41" i="1"/>
  <c r="F43" i="1"/>
  <c r="F10" i="1"/>
  <c r="F39" i="1"/>
  <c r="F21" i="1"/>
  <c r="F27" i="1"/>
  <c r="F36" i="1"/>
  <c r="F38" i="1"/>
  <c r="F17" i="1"/>
  <c r="D31" i="1"/>
  <c r="F12" i="1"/>
  <c r="D46" i="1"/>
  <c r="F13" i="1"/>
  <c r="F15" i="1"/>
  <c r="F37" i="1"/>
  <c r="F29" i="1"/>
  <c r="B66" i="1"/>
  <c r="E66" i="1" s="1"/>
  <c r="B65" i="1"/>
  <c r="E65" i="1" s="1"/>
  <c r="F45" i="1"/>
  <c r="F40" i="1"/>
  <c r="F35" i="1"/>
  <c r="D20" i="1"/>
  <c r="D22" i="1" s="1"/>
  <c r="H46" i="1"/>
  <c r="H47" i="1" s="1"/>
  <c r="H49" i="1" s="1"/>
  <c r="H20" i="1"/>
  <c r="H22" i="1" s="1"/>
  <c r="H51" i="1" l="1"/>
  <c r="D68" i="1"/>
  <c r="F31" i="1"/>
  <c r="D47" i="1"/>
  <c r="D49" i="1" s="1"/>
  <c r="D51" i="1" s="1"/>
  <c r="D56" i="1" s="1"/>
  <c r="D58" i="1" s="1"/>
  <c r="F46" i="1"/>
  <c r="F6" i="1"/>
  <c r="B68" i="1"/>
  <c r="E68" i="1" l="1"/>
  <c r="E67" i="1"/>
  <c r="F47" i="1"/>
  <c r="F49" i="1" s="1"/>
  <c r="F18" i="1"/>
  <c r="F20" i="1" l="1"/>
  <c r="B56" i="1" l="1"/>
  <c r="B58" i="1" s="1"/>
  <c r="F22" i="1"/>
  <c r="F51" i="1" s="1"/>
</calcChain>
</file>

<file path=xl/sharedStrings.xml><?xml version="1.0" encoding="utf-8"?>
<sst xmlns="http://schemas.openxmlformats.org/spreadsheetml/2006/main" count="1066" uniqueCount="522">
  <si>
    <t>Neighbors Link Corp</t>
  </si>
  <si>
    <t>Cash Basis</t>
  </si>
  <si>
    <t>YTD Actual</t>
  </si>
  <si>
    <t>YTD Budget</t>
  </si>
  <si>
    <t>Over (Under) Budget</t>
  </si>
  <si>
    <t xml:space="preserve"> </t>
  </si>
  <si>
    <t>Individual Contributions</t>
  </si>
  <si>
    <t>Campaign</t>
  </si>
  <si>
    <t>Annual Appeal</t>
  </si>
  <si>
    <t>Estate Gifts</t>
  </si>
  <si>
    <t>Organizations/Matching</t>
  </si>
  <si>
    <t>Foundations</t>
  </si>
  <si>
    <t xml:space="preserve">MAP Direct Client Distributions </t>
  </si>
  <si>
    <t>Government</t>
  </si>
  <si>
    <t>Program Income</t>
  </si>
  <si>
    <t>Special Events-Spring Benefit</t>
  </si>
  <si>
    <t>Special Events-Fall Fundraiser</t>
  </si>
  <si>
    <t>Use of Space/Reimbursements</t>
  </si>
  <si>
    <t>Interest/Other Income</t>
  </si>
  <si>
    <t>Prior Year Surplus/Misc Income</t>
  </si>
  <si>
    <t>Total Revenue</t>
  </si>
  <si>
    <t>Map Direct Client Distributions</t>
  </si>
  <si>
    <t>Adjusted Revenue</t>
  </si>
  <si>
    <t>Personnel Expenses:</t>
  </si>
  <si>
    <t>Salary and Payroll</t>
  </si>
  <si>
    <t>Payroll Taxes</t>
  </si>
  <si>
    <t>Employee Benefits</t>
  </si>
  <si>
    <t>Contract Program Services</t>
  </si>
  <si>
    <t>Contract Admin. Services</t>
  </si>
  <si>
    <t>Total Personnel Expenses</t>
  </si>
  <si>
    <t>Operating Expenses:</t>
  </si>
  <si>
    <t>Program</t>
  </si>
  <si>
    <t>Lease</t>
  </si>
  <si>
    <t>Utilities</t>
  </si>
  <si>
    <t>Maintenance</t>
  </si>
  <si>
    <t>Capital Expenses</t>
  </si>
  <si>
    <t>Office Supplies</t>
  </si>
  <si>
    <t xml:space="preserve">Insurance </t>
  </si>
  <si>
    <t>Marketing</t>
  </si>
  <si>
    <t>Fundraising</t>
  </si>
  <si>
    <t>Other Expenses</t>
  </si>
  <si>
    <t>Special Projects</t>
  </si>
  <si>
    <t>Total Operating Expenses</t>
  </si>
  <si>
    <t>Total Expenses</t>
  </si>
  <si>
    <t>Adjusted Expenses</t>
  </si>
  <si>
    <t xml:space="preserve">Net Income (Loss) </t>
  </si>
  <si>
    <t>CASH FLOW</t>
  </si>
  <si>
    <t>CASH AND INVESTMENTS</t>
  </si>
  <si>
    <t xml:space="preserve">Net Income </t>
  </si>
  <si>
    <t>TD Bank Checking</t>
  </si>
  <si>
    <t>TD Bank Reset</t>
  </si>
  <si>
    <t>San Antonio Bank  (debit Cards pre-funding acct)</t>
  </si>
  <si>
    <t>Schwab - Moore Acct</t>
  </si>
  <si>
    <t>Market Value</t>
  </si>
  <si>
    <t>Invested YTD</t>
  </si>
  <si>
    <t>Schwab - No Fee Acct (used for stock donations -a pass-through account)</t>
  </si>
  <si>
    <t xml:space="preserve">Moore Perm Endowment </t>
  </si>
  <si>
    <t>Schwab Long Term - Advisory, GMAS, Benestar</t>
  </si>
  <si>
    <t>Long Term Investments</t>
  </si>
  <si>
    <t>SUB-TOTAL Schwab (Bleakley)</t>
  </si>
  <si>
    <t xml:space="preserve">Payable to ReSet (Liability account) </t>
  </si>
  <si>
    <t>Neighbors Link Corp.</t>
  </si>
  <si>
    <t>Total</t>
  </si>
  <si>
    <t>Revenue</t>
  </si>
  <si>
    <t xml:space="preserve">   02-4 Contributions &amp; support</t>
  </si>
  <si>
    <t xml:space="preserve">      02-4000 Contributions</t>
  </si>
  <si>
    <t xml:space="preserve">         02-4010 Donations</t>
  </si>
  <si>
    <t xml:space="preserve">         02-4040 Restricted Donations</t>
  </si>
  <si>
    <t xml:space="preserve">      Total 02-4000 Contributions</t>
  </si>
  <si>
    <t xml:space="preserve">      02-4115 Estate Gifts</t>
  </si>
  <si>
    <t xml:space="preserve">      02-4120 Campaign</t>
  </si>
  <si>
    <t xml:space="preserve">      02-4200 Annual Appeal</t>
  </si>
  <si>
    <t xml:space="preserve">      02-4400 Matching funds</t>
  </si>
  <si>
    <t xml:space="preserve">      02-4500 Organizations</t>
  </si>
  <si>
    <t xml:space="preserve">         02-4510 Faith organizations</t>
  </si>
  <si>
    <t xml:space="preserve">         02-4520 Community organizations</t>
  </si>
  <si>
    <t xml:space="preserve">      Total 02-4500 Organizations</t>
  </si>
  <si>
    <t xml:space="preserve">      02-4600 Grants</t>
  </si>
  <si>
    <t xml:space="preserve">         02-4616 OTDA MAP Grant Restricted</t>
  </si>
  <si>
    <t xml:space="preserve">         02-4650 Government grants</t>
  </si>
  <si>
    <t xml:space="preserve">      Total 02-4600 Grants</t>
  </si>
  <si>
    <t xml:space="preserve">   Total 02-4 Contributions &amp; support</t>
  </si>
  <si>
    <t xml:space="preserve">   02-5 Earned revenue</t>
  </si>
  <si>
    <t xml:space="preserve">      02-5100 Program income</t>
  </si>
  <si>
    <t xml:space="preserve">         02-5130 Learning Links</t>
  </si>
  <si>
    <t xml:space="preserve">            02-5134 Summer Links</t>
  </si>
  <si>
    <t xml:space="preserve">         Total 02-5130 Learning Links</t>
  </si>
  <si>
    <t xml:space="preserve">         02-5131 ESL</t>
  </si>
  <si>
    <t xml:space="preserve">      Total 02-5100 Program income</t>
  </si>
  <si>
    <t xml:space="preserve">      02-5200 Special events</t>
  </si>
  <si>
    <t xml:space="preserve">         02-5210 Spring Benefit</t>
  </si>
  <si>
    <t xml:space="preserve">            02-5211 Sponsors</t>
  </si>
  <si>
    <t xml:space="preserve">            02-5212 Tickets</t>
  </si>
  <si>
    <t xml:space="preserve">            02-5213 Contributions</t>
  </si>
  <si>
    <t xml:space="preserve">            02-5215 Other Spring Benefit</t>
  </si>
  <si>
    <t xml:space="preserve">         Total 02-5210 Spring Benefit</t>
  </si>
  <si>
    <t xml:space="preserve">      Total 02-5200 Special events</t>
  </si>
  <si>
    <t xml:space="preserve">      02-5400 Rental income</t>
  </si>
  <si>
    <t xml:space="preserve">         02-5420 Chairs &amp; tables</t>
  </si>
  <si>
    <t xml:space="preserve">      Total 02-5400 Rental income</t>
  </si>
  <si>
    <t xml:space="preserve">   Total 02-5 Earned revenue</t>
  </si>
  <si>
    <t xml:space="preserve">   02-6 Other Revenue</t>
  </si>
  <si>
    <t xml:space="preserve">      02-6200 Miscellaneous Income</t>
  </si>
  <si>
    <t xml:space="preserve">   Total 02-6 Other Revenue</t>
  </si>
  <si>
    <t>Gross Profit</t>
  </si>
  <si>
    <t>Expenditures</t>
  </si>
  <si>
    <t xml:space="preserve">   02-7 Personnel expenses</t>
  </si>
  <si>
    <t xml:space="preserve">      02-7000 Salary &amp; payroll</t>
  </si>
  <si>
    <t xml:space="preserve">         02-7001 Executive Director Bracco</t>
  </si>
  <si>
    <t xml:space="preserve">         02-7002 Finance</t>
  </si>
  <si>
    <t xml:space="preserve">         02-7003 Chief of Strategy and Development</t>
  </si>
  <si>
    <t xml:space="preserve">         02-7010 Development Director Vogel</t>
  </si>
  <si>
    <t xml:space="preserve">         02-7012 Comm and Social Media Mgr Graves-Abe</t>
  </si>
  <si>
    <t xml:space="preserve">         02-7013 Development Assistant Besio</t>
  </si>
  <si>
    <t xml:space="preserve">         02-7014 Volunteer Manager Valdovinos/formerly Palomino</t>
  </si>
  <si>
    <t xml:space="preserve">         02-7016 Volunteer and Case Support Coordinator Katz</t>
  </si>
  <si>
    <t xml:space="preserve">         02-7017 Case Coordinator Blanco</t>
  </si>
  <si>
    <t xml:space="preserve">         02-7020 Director Ops &amp; Community Development Granda</t>
  </si>
  <si>
    <t xml:space="preserve">         02-7022 Operations Coordinator Zumba</t>
  </si>
  <si>
    <t xml:space="preserve">         02-7024 WC and Facilities Mgr Arce/formerly Delgado</t>
  </si>
  <si>
    <t xml:space="preserve">         02-7025 Operations Staff Marquez</t>
  </si>
  <si>
    <t xml:space="preserve">         02-7027 Operations Staff Other</t>
  </si>
  <si>
    <t xml:space="preserve">         02-7028 Admin Assistant Leiva/formerly Cordero</t>
  </si>
  <si>
    <t xml:space="preserve">         02-7030 ONA Program Manager Rincon</t>
  </si>
  <si>
    <t xml:space="preserve">         02-7032 Program Coordinator Kelly Martinez</t>
  </si>
  <si>
    <t xml:space="preserve">         02-7033 Program Administrator Gillert</t>
  </si>
  <si>
    <t xml:space="preserve">         02-7034 Program Coordinator Rosa Martin</t>
  </si>
  <si>
    <t xml:space="preserve">         02-7035 Program Assistant Denisha Lopez</t>
  </si>
  <si>
    <t xml:space="preserve">         02-7036 Learning Links</t>
  </si>
  <si>
    <t xml:space="preserve">         02-7038 Administrative Asst Restrepo</t>
  </si>
  <si>
    <t xml:space="preserve">         02-7042 ESL Instructors</t>
  </si>
  <si>
    <t xml:space="preserve">         02-7049 Childcare Program Coordinator Vinansaca</t>
  </si>
  <si>
    <t xml:space="preserve">         02-7050 Family Center Director Rosado</t>
  </si>
  <si>
    <t xml:space="preserve">         02-7051 PAT Educator Quezada</t>
  </si>
  <si>
    <t xml:space="preserve">         02-7052 Case Manager Zambrano (formerly - PCT Personnel)</t>
  </si>
  <si>
    <t xml:space="preserve">         02-7058 Family Center Childcare</t>
  </si>
  <si>
    <t xml:space="preserve">         02-7060 Program Coordinator S. Sanchez</t>
  </si>
  <si>
    <t xml:space="preserve">         02-7061 CLP Director Anderson</t>
  </si>
  <si>
    <t xml:space="preserve">         02-7062 CLP Manager Mastropolo</t>
  </si>
  <si>
    <t xml:space="preserve">         02-7063 CLP Paralegal Bentancor (prev incl Molina)</t>
  </si>
  <si>
    <t xml:space="preserve">         02-7064 CLP Paralegal Molina</t>
  </si>
  <si>
    <t xml:space="preserve">         02-7067 CLP Paralegal Sacaza</t>
  </si>
  <si>
    <t xml:space="preserve">         02-7069 CLP Paralegal Tuquinagui</t>
  </si>
  <si>
    <t xml:space="preserve">         02-7070 CLP Sr. Staff Attorney Tonne-Daims</t>
  </si>
  <si>
    <t xml:space="preserve">         02-7071 CLP Staff Attorney Aguilar</t>
  </si>
  <si>
    <t xml:space="preserve">         02-7072 CLP ONA Legal Liaison Steward</t>
  </si>
  <si>
    <t xml:space="preserve">         02-7073 CLP Paralegal Roman</t>
  </si>
  <si>
    <t xml:space="preserve">         02-7074 CLP Staff Attorney Campozano</t>
  </si>
  <si>
    <t xml:space="preserve">         02-7076 CLP Admin Assistant A. Aguilar</t>
  </si>
  <si>
    <t xml:space="preserve">         02-7077 CLP Sr. Staff Attorney Zamenhof/formerly Cueva</t>
  </si>
  <si>
    <t xml:space="preserve">         02-7078 CLP Paralegal Leon</t>
  </si>
  <si>
    <t xml:space="preserve">         02-7079 CLP Paralegal Weissert</t>
  </si>
  <si>
    <t xml:space="preserve">         02-7080 CLP Paralegal Kellar</t>
  </si>
  <si>
    <t xml:space="preserve">         02-7081 Outreach Specialist Betty Capellan Lopez</t>
  </si>
  <si>
    <t xml:space="preserve">         02-7082 Client-Faced Technology Mgr. Rubin</t>
  </si>
  <si>
    <t xml:space="preserve">         02-7083 Devel Asst Zepeda</t>
  </si>
  <si>
    <t xml:space="preserve">         02-7085 ESL ONA Instructors</t>
  </si>
  <si>
    <t xml:space="preserve">         02-7086 Cultural Awareness Trainer Sussman</t>
  </si>
  <si>
    <t xml:space="preserve">         02-7088 PAT Parent Educator Velez</t>
  </si>
  <si>
    <t xml:space="preserve">         02-7090 Parent Child Program Facilitator Mayancela</t>
  </si>
  <si>
    <t xml:space="preserve">         02-7093 Admin Assistant MK Mangual</t>
  </si>
  <si>
    <t xml:space="preserve">         02-7094 CLP Sr. Staff Attorney Malett</t>
  </si>
  <si>
    <t xml:space="preserve">         02-7096 Volunteer Coordinator Parry</t>
  </si>
  <si>
    <t xml:space="preserve">         02-7151 CLP Paralegal Fils</t>
  </si>
  <si>
    <t xml:space="preserve">         02-7152 CLP Paralegal Urgiles</t>
  </si>
  <si>
    <t xml:space="preserve">         02-7153 CLP Paralegal Ramirez</t>
  </si>
  <si>
    <t xml:space="preserve">         02-7154 CLP Admin Assistant Zhingri</t>
  </si>
  <si>
    <t xml:space="preserve">         02-7160 Admin Assistant Yonkers Ruiz</t>
  </si>
  <si>
    <t xml:space="preserve">         02-7163 Case Coordinator - Miranda-Castellon</t>
  </si>
  <si>
    <t xml:space="preserve">         02-7164 Development Associate Lokaj</t>
  </si>
  <si>
    <t xml:space="preserve">         02-7165 Housing Coordinator MAP - Emily Rodriguez</t>
  </si>
  <si>
    <t xml:space="preserve">      Total 02-7000 Salary &amp; payroll</t>
  </si>
  <si>
    <t xml:space="preserve">      02-7100 Payroll taxes</t>
  </si>
  <si>
    <t xml:space="preserve">         02-7110 Payroll Taxes - Employer</t>
  </si>
  <si>
    <t xml:space="preserve">      Total 02-7100 Payroll taxes</t>
  </si>
  <si>
    <t xml:space="preserve">      02-7200 Employee benefits</t>
  </si>
  <si>
    <t xml:space="preserve">         02-7210 Healthcare -  employer</t>
  </si>
  <si>
    <t xml:space="preserve">         02-7211 Dental-Employer</t>
  </si>
  <si>
    <t xml:space="preserve">         02-7212 Vision -Employer</t>
  </si>
  <si>
    <t xml:space="preserve">         02-7213 Life Insurance - Employer</t>
  </si>
  <si>
    <t xml:space="preserve">         02-7214 LT Disability - Employer</t>
  </si>
  <si>
    <t xml:space="preserve">         02-7215 ST Disability - Employer</t>
  </si>
  <si>
    <t xml:space="preserve">         02-7223 FSA Dependent Care - Employee</t>
  </si>
  <si>
    <t xml:space="preserve">         02-7224 FSA Medical - Employee</t>
  </si>
  <si>
    <t xml:space="preserve">         02-7240 Professional development</t>
  </si>
  <si>
    <t xml:space="preserve">         02-7261 Retirement Plan employer</t>
  </si>
  <si>
    <t xml:space="preserve">         02-7263 HRA</t>
  </si>
  <si>
    <t xml:space="preserve">      Total 02-7200 Employee benefits</t>
  </si>
  <si>
    <t xml:space="preserve">      02-7300 Contract Services - Programs</t>
  </si>
  <si>
    <t xml:space="preserve">         02-7350 Family Center Contractors</t>
  </si>
  <si>
    <t xml:space="preserve">      Total 02-7300 Contract Services - Programs</t>
  </si>
  <si>
    <t xml:space="preserve">      02-7400 Contract services - Admin</t>
  </si>
  <si>
    <t xml:space="preserve">         02-7420 Computer support</t>
  </si>
  <si>
    <t xml:space="preserve">      Total 02-7400 Contract services - Admin</t>
  </si>
  <si>
    <t xml:space="preserve">   Total 02-7 Personnel expenses</t>
  </si>
  <si>
    <t xml:space="preserve">   02-8 Non-personnel expenses</t>
  </si>
  <si>
    <t xml:space="preserve">      02-8100 Program expenses</t>
  </si>
  <si>
    <t xml:space="preserve">         02-8112 Volunteer appreciation</t>
  </si>
  <si>
    <t xml:space="preserve">         02-8120 Community Outreach</t>
  </si>
  <si>
    <t xml:space="preserve">         02-8121 Worker Center</t>
  </si>
  <si>
    <t xml:space="preserve">         02-8123 Staff appreciation</t>
  </si>
  <si>
    <t xml:space="preserve">         02-8130 Education Programs</t>
  </si>
  <si>
    <t xml:space="preserve">            02-8131 ESL</t>
  </si>
  <si>
    <t xml:space="preserve">            02-8133 Learning Links</t>
  </si>
  <si>
    <t xml:space="preserve">         Total 02-8130 Education Programs</t>
  </si>
  <si>
    <t xml:space="preserve">         02-8140 Workforce Development Programs</t>
  </si>
  <si>
    <t xml:space="preserve">            02-8141 EcoCleaning</t>
  </si>
  <si>
    <t xml:space="preserve">            02-8144 Careers&amp;Pathways formerly Restaurant Skills</t>
  </si>
  <si>
    <t xml:space="preserve">            02-8146 OSHA</t>
  </si>
  <si>
    <t xml:space="preserve">            02-8148 Computer classes</t>
  </si>
  <si>
    <t xml:space="preserve">         Total 02-8140 Workforce Development Programs</t>
  </si>
  <si>
    <t xml:space="preserve">         02-8150 Family Center</t>
  </si>
  <si>
    <t xml:space="preserve">            02-8152 Adelante Juntos</t>
  </si>
  <si>
    <t xml:space="preserve">            02-8153 Family Night</t>
  </si>
  <si>
    <t xml:space="preserve">            02-8155 PAT Home Education</t>
  </si>
  <si>
    <t xml:space="preserve">            02-8159 Field trips</t>
  </si>
  <si>
    <t xml:space="preserve">            02-8196 MAP Program</t>
  </si>
  <si>
    <t xml:space="preserve">         Total 02-8150 Family Center</t>
  </si>
  <si>
    <t xml:space="preserve">         02-8160 Community Law Practice</t>
  </si>
  <si>
    <t xml:space="preserve">            02-8161 Travel-Legal</t>
  </si>
  <si>
    <t xml:space="preserve">            02-8162 Mailings-Legal</t>
  </si>
  <si>
    <t xml:space="preserve">            02-8163 Mileage-Legal</t>
  </si>
  <si>
    <t xml:space="preserve">            02-8164 Other - Legal</t>
  </si>
  <si>
    <t xml:space="preserve">            02-8165 Client Fees Reimbursed by ONA - Legal</t>
  </si>
  <si>
    <t xml:space="preserve">         Total 02-8160 Community Law Practice</t>
  </si>
  <si>
    <t xml:space="preserve">         02-8170 Client Crisis Support</t>
  </si>
  <si>
    <t xml:space="preserve">         02-8174 OTDA MAP Grant Rent and Other Direct Client Assistance</t>
  </si>
  <si>
    <t xml:space="preserve">         02-8175 New Arrivals Client Assistance</t>
  </si>
  <si>
    <t xml:space="preserve">         02-8197 Yonkers Facility Fee</t>
  </si>
  <si>
    <t xml:space="preserve">      Total 02-8100 Program expenses</t>
  </si>
  <si>
    <t xml:space="preserve">      02-8200 Lease obligations</t>
  </si>
  <si>
    <t xml:space="preserve">         02-8210 Rent</t>
  </si>
  <si>
    <t xml:space="preserve">         02-8220 Property</t>
  </si>
  <si>
    <t xml:space="preserve">         02-8230 School</t>
  </si>
  <si>
    <t xml:space="preserve">      Total 02-8200 Lease obligations</t>
  </si>
  <si>
    <t xml:space="preserve">      02-8300 Utilities</t>
  </si>
  <si>
    <t xml:space="preserve">         02-8310 Telephone</t>
  </si>
  <si>
    <t xml:space="preserve">         02-8315 Text message service</t>
  </si>
  <si>
    <t xml:space="preserve">         02-8320 Television</t>
  </si>
  <si>
    <t xml:space="preserve">         02-8330 Gas/electric</t>
  </si>
  <si>
    <t xml:space="preserve">         02-8340 Water</t>
  </si>
  <si>
    <t xml:space="preserve">         02-8350 Propane</t>
  </si>
  <si>
    <t xml:space="preserve">      Total 02-8300 Utilities</t>
  </si>
  <si>
    <t xml:space="preserve">      02-8400 Maintenance</t>
  </si>
  <si>
    <t xml:space="preserve">         02-8410 Building maintenance</t>
  </si>
  <si>
    <t xml:space="preserve">         02-8430 Custodial supplies</t>
  </si>
  <si>
    <t xml:space="preserve">         02-8440 Garbage removal</t>
  </si>
  <si>
    <t xml:space="preserve">         02-8450 Snow removal</t>
  </si>
  <si>
    <t xml:space="preserve">      Total 02-8400 Maintenance</t>
  </si>
  <si>
    <t xml:space="preserve">      02-8500 Fixed asset purchases</t>
  </si>
  <si>
    <t xml:space="preserve">         02-8510 Leasehold improvements</t>
  </si>
  <si>
    <t xml:space="preserve">         02-8520 Computers &amp; equipment</t>
  </si>
  <si>
    <t xml:space="preserve">         02-8530 Furniture &amp; fixtures</t>
  </si>
  <si>
    <t xml:space="preserve">      Total 02-8500 Fixed asset purchases</t>
  </si>
  <si>
    <t xml:space="preserve">      02-8600 Office supplies</t>
  </si>
  <si>
    <t xml:space="preserve">      02-8700 Insurance</t>
  </si>
  <si>
    <t xml:space="preserve">         02-8720 Workers compensation</t>
  </si>
  <si>
    <t xml:space="preserve">      Total 02-8700 Insurance</t>
  </si>
  <si>
    <t xml:space="preserve">      02-8800 Advertising &amp; promotion</t>
  </si>
  <si>
    <t xml:space="preserve">         02-8830 Postage &amp; delivery</t>
  </si>
  <si>
    <t xml:space="preserve">         02-8840 Other promotional</t>
  </si>
  <si>
    <t xml:space="preserve">      Total 02-8800 Advertising &amp; promotion</t>
  </si>
  <si>
    <t xml:space="preserve">      02-9000 Fundraising</t>
  </si>
  <si>
    <t xml:space="preserve">         02-9020 Special events</t>
  </si>
  <si>
    <t xml:space="preserve">            02-9021 Spring Benefit</t>
  </si>
  <si>
    <t xml:space="preserve">         Total 02-9020 Special events</t>
  </si>
  <si>
    <t xml:space="preserve">         02-9030 Credit card fees</t>
  </si>
  <si>
    <t xml:space="preserve">         02-9050 Donor cultivation</t>
  </si>
  <si>
    <t xml:space="preserve">      Total 02-9000 Fundraising</t>
  </si>
  <si>
    <t xml:space="preserve">      02-9100 Other expenses</t>
  </si>
  <si>
    <t xml:space="preserve">         02-9110 Dues &amp; subscriptions</t>
  </si>
  <si>
    <t xml:space="preserve">         02-9120 Conferences/workshops</t>
  </si>
  <si>
    <t xml:space="preserve">         02-9125 Staff mileage/local travel</t>
  </si>
  <si>
    <t xml:space="preserve">         02-9130 Bank charges</t>
  </si>
  <si>
    <t xml:space="preserve">         02-9135 Investment Advisory Fee</t>
  </si>
  <si>
    <t xml:space="preserve">         02-9140 Payroll charges</t>
  </si>
  <si>
    <t xml:space="preserve">         02-9145 Recruitment</t>
  </si>
  <si>
    <t xml:space="preserve">         02-9150 Licenses &amp; permits</t>
  </si>
  <si>
    <t xml:space="preserve">      Total 02-9100 Other expenses</t>
  </si>
  <si>
    <t xml:space="preserve">      02-9200 Special project fees</t>
  </si>
  <si>
    <t xml:space="preserve">         02-9220 Program database</t>
  </si>
  <si>
    <t xml:space="preserve">         02-9230 Public Relations Consultant</t>
  </si>
  <si>
    <t xml:space="preserve">      Total 02-9200 Special project fees</t>
  </si>
  <si>
    <t xml:space="preserve">   Total 02-8 Non-personnel expenses</t>
  </si>
  <si>
    <t>Total Expenditures</t>
  </si>
  <si>
    <t>Net Operating Revenue</t>
  </si>
  <si>
    <t>Other Revenue</t>
  </si>
  <si>
    <t xml:space="preserve">   02-5700 Revenue from investments</t>
  </si>
  <si>
    <t xml:space="preserve">      02-5710 Interest/short-term investments</t>
  </si>
  <si>
    <t xml:space="preserve">      02-5720 Schwab Dividends/Interest</t>
  </si>
  <si>
    <t xml:space="preserve">      02-9710 Realized Gains/Losses on Investments</t>
  </si>
  <si>
    <t xml:space="preserve">   Total 02-5700 Revenue from investments</t>
  </si>
  <si>
    <t xml:space="preserve">   02-9700 Market gain (loss) on Donated Stock</t>
  </si>
  <si>
    <t>Total Other Revenue</t>
  </si>
  <si>
    <t>Net Other Revenue</t>
  </si>
  <si>
    <t>Net Revenue</t>
  </si>
  <si>
    <t>Statement of Activity Comparison</t>
  </si>
  <si>
    <t>Change</t>
  </si>
  <si>
    <t>% Change</t>
  </si>
  <si>
    <t xml:space="preserve">         02-4620 Grants unrestricted</t>
  </si>
  <si>
    <t xml:space="preserve">            02-8193 Mercado Holiday Program</t>
  </si>
  <si>
    <t xml:space="preserve">         02-8740 Liability</t>
  </si>
  <si>
    <t xml:space="preserve">         02-7410 Audit Services</t>
  </si>
  <si>
    <t xml:space="preserve">      02-9720 Unrealized Gains/Losses on Investments</t>
  </si>
  <si>
    <t>Statement of Cash Flows</t>
  </si>
  <si>
    <t>OPERATING ACTIVITIES</t>
  </si>
  <si>
    <t xml:space="preserve">   Net Revenue</t>
  </si>
  <si>
    <t xml:space="preserve">   Adjustments to reconcile Net Revenue to Net Cash provided by operations:</t>
  </si>
  <si>
    <t xml:space="preserve">      Chase Visa</t>
  </si>
  <si>
    <t xml:space="preserve">      02-2020 Accrued Expenses</t>
  </si>
  <si>
    <t xml:space="preserve">   Total Adjustments to reconcile Net Revenue to Net Cash provided by operations:</t>
  </si>
  <si>
    <t>Net cash provided by operating activities</t>
  </si>
  <si>
    <t>FINANCING ACTIVITIES</t>
  </si>
  <si>
    <t xml:space="preserve">   02-2706 OTDA MAP Grant Deferred Revenue</t>
  </si>
  <si>
    <t xml:space="preserve">   02-2710 Payable to ReSET</t>
  </si>
  <si>
    <t>Net cash provided by financing activities</t>
  </si>
  <si>
    <t>Net cash increase for period</t>
  </si>
  <si>
    <t>Cash at beginning of period</t>
  </si>
  <si>
    <t>Cash at end of period</t>
  </si>
  <si>
    <t>Statement of Financial Position</t>
  </si>
  <si>
    <t>ASSETS</t>
  </si>
  <si>
    <t xml:space="preserve">   Current Assets</t>
  </si>
  <si>
    <t xml:space="preserve">      Bank Accounts</t>
  </si>
  <si>
    <t xml:space="preserve">         02-1000 Cash &amp; equivalents</t>
  </si>
  <si>
    <t xml:space="preserve">            02-1010 TD Bank accounts</t>
  </si>
  <si>
    <t xml:space="preserve">               02-1011 TD Checking</t>
  </si>
  <si>
    <t xml:space="preserve">               02-1012 TD Money Market</t>
  </si>
  <si>
    <t xml:space="preserve">               02-1013 TD Checking Network</t>
  </si>
  <si>
    <t xml:space="preserve">               02-1014 TD Bank- ReSet Acct</t>
  </si>
  <si>
    <t xml:space="preserve">            Total 02-1010 TD Bank accounts</t>
  </si>
  <si>
    <t xml:space="preserve">            02-1020 Chase accounts</t>
  </si>
  <si>
    <t xml:space="preserve">               02-1021 BusinessPlus Checking</t>
  </si>
  <si>
    <t xml:space="preserve">               02-1022 Business High Yield Savings</t>
  </si>
  <si>
    <t xml:space="preserve">               02-1025 Chase/CD</t>
  </si>
  <si>
    <t xml:space="preserve">            Total 02-1020 Chase accounts</t>
  </si>
  <si>
    <t xml:space="preserve">            02-1030 San Antonio Bank Pre-funding Acct</t>
  </si>
  <si>
    <t xml:space="preserve">            02-1040 Bank of American Checking</t>
  </si>
  <si>
    <t xml:space="preserve">            02-1070 Schwab Accounts</t>
  </si>
  <si>
    <t xml:space="preserve">               02-1071 Schwab - Moore Account 1309-0708</t>
  </si>
  <si>
    <t xml:space="preserve">               02-1072 Schwab No Fee Account 8086-6714</t>
  </si>
  <si>
    <t xml:space="preserve">               02-1073 Schwab Advisory Account 3615-9605</t>
  </si>
  <si>
    <t xml:space="preserve">               02-1074 Schwab - Benestar 6600-3230</t>
  </si>
  <si>
    <t xml:space="preserve">               02-1075 Schwab - GMAS 7637-0541</t>
  </si>
  <si>
    <t xml:space="preserve">               02-1076 Moore Fund- GMAS 8973-6111</t>
  </si>
  <si>
    <t xml:space="preserve">               02-1077 Moore -Benestar 4364-4397</t>
  </si>
  <si>
    <t xml:space="preserve">               02-1078 Schwab Cash and Money Market Balances</t>
  </si>
  <si>
    <t xml:space="preserve">               02-1079 Unrealized Gains/Losses on Investments</t>
  </si>
  <si>
    <t xml:space="preserve">               02-1080 Schwab Account ending 1296</t>
  </si>
  <si>
    <t xml:space="preserve">            Total 02-1070 Schwab Accounts</t>
  </si>
  <si>
    <t xml:space="preserve">            02-1090 Merrill Lynch accounts</t>
  </si>
  <si>
    <t xml:space="preserve">               02-1091 Merrill Lynch Money Market</t>
  </si>
  <si>
    <t xml:space="preserve">               02-1092 Merrill Lynch CD Ladder</t>
  </si>
  <si>
    <t xml:space="preserve">               02-1093 Merrill Lynch Equities</t>
  </si>
  <si>
    <t xml:space="preserve">            Total 02-1090 Merrill Lynch accounts</t>
  </si>
  <si>
    <t xml:space="preserve">            02-1099 Undeposited Funds.</t>
  </si>
  <si>
    <t xml:space="preserve">         Total 02-1000 Cash &amp; equivalents</t>
  </si>
  <si>
    <t xml:space="preserve">      Total Bank Accounts</t>
  </si>
  <si>
    <t xml:space="preserve">      Other Current Assets</t>
  </si>
  <si>
    <t xml:space="preserve">         02-1200 Grants Receivable</t>
  </si>
  <si>
    <t xml:space="preserve">         02-1300 Pledge Receivable</t>
  </si>
  <si>
    <t xml:space="preserve">         02-1499 Undeposited Funds</t>
  </si>
  <si>
    <t xml:space="preserve">         02-1510 Prepaid insurance</t>
  </si>
  <si>
    <t xml:space="preserve">         02-1520 Prepaid expenses</t>
  </si>
  <si>
    <t xml:space="preserve">         02-1550 Rent Security Deposit</t>
  </si>
  <si>
    <t xml:space="preserve">         02-1560 Other Current Assets</t>
  </si>
  <si>
    <t xml:space="preserve">         02-1570 Interest Receivable</t>
  </si>
  <si>
    <t xml:space="preserve">         Uncategorized Asset</t>
  </si>
  <si>
    <t xml:space="preserve">      Total Other Current Assets</t>
  </si>
  <si>
    <t xml:space="preserve">   Total Current Assets</t>
  </si>
  <si>
    <t xml:space="preserve">   Fixed Assets</t>
  </si>
  <si>
    <t xml:space="preserve">      02-1600 Fixed assets</t>
  </si>
  <si>
    <t xml:space="preserve">         02-1610 Automobile</t>
  </si>
  <si>
    <t xml:space="preserve">         02-1620 Leasehold improvements</t>
  </si>
  <si>
    <t xml:space="preserve">         02-1630 Computers &amp; equipment</t>
  </si>
  <si>
    <t xml:space="preserve">         02-1640 Furniture &amp; fixtures</t>
  </si>
  <si>
    <t xml:space="preserve">      Total 02-1600 Fixed assets</t>
  </si>
  <si>
    <t xml:space="preserve">      02-1700 Accumulated depreciation</t>
  </si>
  <si>
    <t xml:space="preserve">         02-1710 Automobile deprec</t>
  </si>
  <si>
    <t xml:space="preserve">         02-1720 Leasehold improvements deprec</t>
  </si>
  <si>
    <t xml:space="preserve">         02-1730 Computers &amp; equipment deprec</t>
  </si>
  <si>
    <t xml:space="preserve">         02-1740 Furnitures &amp; fixtures deprec</t>
  </si>
  <si>
    <t xml:space="preserve">      Total 02-1700 Accumulated depreciation</t>
  </si>
  <si>
    <t xml:space="preserve">   Total Fixed Assets</t>
  </si>
  <si>
    <t xml:space="preserve">   Other Assets</t>
  </si>
  <si>
    <t xml:space="preserve">      02-1750 Right of Use Asset</t>
  </si>
  <si>
    <t xml:space="preserve">      02-1760 Note Receivable</t>
  </si>
  <si>
    <t xml:space="preserve">   Total Other Assets</t>
  </si>
  <si>
    <t>TOTAL ASSETS</t>
  </si>
  <si>
    <t>LIABILITIES AND EQUITY</t>
  </si>
  <si>
    <t xml:space="preserve">   Liabilities</t>
  </si>
  <si>
    <t xml:space="preserve">      Current Liabilities</t>
  </si>
  <si>
    <t xml:space="preserve">         Credit Cards</t>
  </si>
  <si>
    <t xml:space="preserve">            Chase Visa</t>
  </si>
  <si>
    <t xml:space="preserve">         Total Credit Cards</t>
  </si>
  <si>
    <t xml:space="preserve">         Other Current Liabilities</t>
  </si>
  <si>
    <t xml:space="preserve">            02-2020 Accrued Expenses</t>
  </si>
  <si>
    <t xml:space="preserve">            02-2100 Withholding</t>
  </si>
  <si>
    <t xml:space="preserve">               02-2110 Federal income tax</t>
  </si>
  <si>
    <t xml:space="preserve">               02-2120 Medicare</t>
  </si>
  <si>
    <t xml:space="preserve">               02-2130 State disability insurance</t>
  </si>
  <si>
    <t xml:space="preserve">               02-2140 State income tax</t>
  </si>
  <si>
    <t xml:space="preserve">               02-2150 Social Security</t>
  </si>
  <si>
    <t xml:space="preserve">            Total 02-2100 Withholding</t>
  </si>
  <si>
    <t xml:space="preserve">            02-2510 Employee loans payable</t>
  </si>
  <si>
    <t xml:space="preserve">            02-2513 State Disability Insurance - NY</t>
  </si>
  <si>
    <t xml:space="preserve">            02-2707 Deferred Revenue</t>
  </si>
  <si>
    <t xml:space="preserve">         Total Other Current Liabilities</t>
  </si>
  <si>
    <t xml:space="preserve">      Total Current Liabilities</t>
  </si>
  <si>
    <t xml:space="preserve">      Long-Term Liabilities</t>
  </si>
  <si>
    <t xml:space="preserve">         02-2700 PPP Notes Payable</t>
  </si>
  <si>
    <t xml:space="preserve">         02-2705 IDA Storm Relief Deferred Revenue</t>
  </si>
  <si>
    <t xml:space="preserve">         02-2706 OTDA MAP Grant Deferred Revenue</t>
  </si>
  <si>
    <t xml:space="preserve">         02-2710 Payable to ReSET</t>
  </si>
  <si>
    <t xml:space="preserve">         02-2720 Right of Use Liability</t>
  </si>
  <si>
    <t xml:space="preserve">      Total Long-Term Liabilities</t>
  </si>
  <si>
    <t xml:space="preserve">   Total Liabilities</t>
  </si>
  <si>
    <t xml:space="preserve">   Equity</t>
  </si>
  <si>
    <t xml:space="preserve">      02-3000 Opening Bal Equity</t>
  </si>
  <si>
    <t xml:space="preserve">      1110 Retained Earnings</t>
  </si>
  <si>
    <t xml:space="preserve">      Net Revenue</t>
  </si>
  <si>
    <t xml:space="preserve">   Total Equity</t>
  </si>
  <si>
    <t>TOTAL LIABILITIES AND EQUITY</t>
  </si>
  <si>
    <t>Actual</t>
  </si>
  <si>
    <t>Budget</t>
  </si>
  <si>
    <t xml:space="preserve">      02-4110 Restricted Estate Gifts</t>
  </si>
  <si>
    <t xml:space="preserve">         02-4210 Prior year appeal</t>
  </si>
  <si>
    <t xml:space="preserve">      Total 02-4200 Annual Appeal</t>
  </si>
  <si>
    <t xml:space="preserve">         02-5220 Fall Fundraiser</t>
  </si>
  <si>
    <t xml:space="preserve">            02-5221 Sponsors</t>
  </si>
  <si>
    <t xml:space="preserve">            02-5223 Contributions</t>
  </si>
  <si>
    <t xml:space="preserve">            02-5226 Tickets</t>
  </si>
  <si>
    <t xml:space="preserve">         Total 02-5220 Fall Fundraiser</t>
  </si>
  <si>
    <t xml:space="preserve">         02-7037 Summer Links</t>
  </si>
  <si>
    <t xml:space="preserve">         02-7097 Budgeted New Hires</t>
  </si>
  <si>
    <t xml:space="preserve">         02-7098 Salary Reserve Fund</t>
  </si>
  <si>
    <t xml:space="preserve">         02-7460 Grant Writers</t>
  </si>
  <si>
    <t xml:space="preserve">            02-8134 Summer Links</t>
  </si>
  <si>
    <t xml:space="preserve">         02-8820 Annual report</t>
  </si>
  <si>
    <t xml:space="preserve">         02-9010 Annual appeal</t>
  </si>
  <si>
    <t xml:space="preserve">            02-9022 Fall Fundraiser</t>
  </si>
  <si>
    <t xml:space="preserve">         02-9210 Strategic review</t>
  </si>
  <si>
    <t xml:space="preserve">Chase </t>
  </si>
  <si>
    <t>NL CASH AND INVESTMENTS^</t>
  </si>
  <si>
    <t>SUB-TOTAL^</t>
  </si>
  <si>
    <t>SCHWAB INVESTMENTS~</t>
  </si>
  <si>
    <t xml:space="preserve">         02-7480 Custodian/ maintenance</t>
  </si>
  <si>
    <t xml:space="preserve">            02-8157 Parent Education</t>
  </si>
  <si>
    <t xml:space="preserve">         02-7168 Case Coordinator Laura Martinez</t>
  </si>
  <si>
    <t>over Budget</t>
  </si>
  <si>
    <t>Short -Term (T-Bills) &amp; Money Mkt</t>
  </si>
  <si>
    <t>Schwab - T-Bills &amp; Money Mkt</t>
  </si>
  <si>
    <t xml:space="preserve">         02-7089 ESL Coordinator Ahmadi/formerly Yoel, Charco</t>
  </si>
  <si>
    <t>% of Budget</t>
  </si>
  <si>
    <t xml:space="preserve">         02-7095 CLP Intern Lopez/Temp Simon</t>
  </si>
  <si>
    <t xml:space="preserve">         02-7075 CLP Staff Attorney Wisbaum (formerly Arango-Valencia)</t>
  </si>
  <si>
    <t xml:space="preserve">         02-7150 CLP Paralegal Urrutia (formerly Sanchez)</t>
  </si>
  <si>
    <t xml:space="preserve">         02-7169 FC Program Manager Tirado</t>
  </si>
  <si>
    <t xml:space="preserve">               02-1081 Schwab ReSET Acct 171</t>
  </si>
  <si>
    <t>Schwab - ReSet Acct</t>
  </si>
  <si>
    <t xml:space="preserve">         02-7170 Facilities Manager M Fernandez</t>
  </si>
  <si>
    <t xml:space="preserve">         02-7481 Safety Officer</t>
  </si>
  <si>
    <t>2025 Approved Budget</t>
  </si>
  <si>
    <t>Cash &amp; Inv at 12/31/24*</t>
  </si>
  <si>
    <t>Jan 2025</t>
  </si>
  <si>
    <t>Budget vs. Actuals: Budget_FY25_P&amp;L - FY25 P&amp;L  Classes</t>
  </si>
  <si>
    <t>Statement of Activity by Month</t>
  </si>
  <si>
    <t xml:space="preserve">    includes 12/31/24 unrealized gain of $84,907.</t>
  </si>
  <si>
    <t xml:space="preserve">         02-5190 Other Program Income</t>
  </si>
  <si>
    <t>Feb 2025</t>
  </si>
  <si>
    <t xml:space="preserve">         02-5137 EcoClean</t>
  </si>
  <si>
    <t xml:space="preserve">         02-7161 Community Outreach Coordinator Guartambel/formerly Togo</t>
  </si>
  <si>
    <t xml:space="preserve">         02-7171 CLP Staff Attorney Feinstein</t>
  </si>
  <si>
    <t xml:space="preserve">            02-8181 Legal Translation</t>
  </si>
  <si>
    <t xml:space="preserve">            02-8182 Legal Professional Development</t>
  </si>
  <si>
    <t xml:space="preserve">            02-8183 Legal Licenses/Software</t>
  </si>
  <si>
    <t xml:space="preserve">            02-8184 Legal Supplies</t>
  </si>
  <si>
    <t xml:space="preserve">            02-8185 Legal Client Filing Fees</t>
  </si>
  <si>
    <t xml:space="preserve">         02-4610 Grants restricted</t>
  </si>
  <si>
    <t>Mar 2025</t>
  </si>
  <si>
    <t xml:space="preserve">MAP Pass-through Funds   </t>
  </si>
  <si>
    <t xml:space="preserve">Timing </t>
  </si>
  <si>
    <t>Timing-Not using PR consultant currently</t>
  </si>
  <si>
    <t>Leasehold Imp. for new bldg over budget; offset by addt'l revenue funding</t>
  </si>
  <si>
    <t>January - April, 2025</t>
  </si>
  <si>
    <t xml:space="preserve">      02-4130 Restricted Campaign</t>
  </si>
  <si>
    <t xml:space="preserve">         02-7172 CLP Paralegal Cabreira</t>
  </si>
  <si>
    <t>Actual vs. Budget: YTD April 2025</t>
  </si>
  <si>
    <t>Monday, May 05, 2025 10:50:07 AM GMT-7 - Cash Basis</t>
  </si>
  <si>
    <t>Jan - Apr, 2025</t>
  </si>
  <si>
    <t>Jan - Apr, 2024 (PY)</t>
  </si>
  <si>
    <t xml:space="preserve">         02-7166 Case Manager Client Services</t>
  </si>
  <si>
    <t xml:space="preserve">         02-7399 Temp Agency Staff</t>
  </si>
  <si>
    <t xml:space="preserve">         02-8176 Client Assistance CSBG Grant</t>
  </si>
  <si>
    <t>Monday, May 05, 2025 10:53:43 AM GMT-7 - Cash Basis</t>
  </si>
  <si>
    <t>As of April 30, 2025</t>
  </si>
  <si>
    <t>Apr 2025</t>
  </si>
  <si>
    <t>Monday, May 05, 2025 10:58:17 AM GMT-7 - Cash Basis</t>
  </si>
  <si>
    <t>Net loss $339k over budget</t>
  </si>
  <si>
    <t xml:space="preserve">Timing $200k Schwartz not yet rec'd; overall volume/amts up </t>
  </si>
  <si>
    <t xml:space="preserve">Manocherian $100k (not in budget) </t>
  </si>
  <si>
    <t>Timing -$175k early; Up for yr - 2 new grants $35k &amp; addt'l $25k Hughes</t>
  </si>
  <si>
    <t xml:space="preserve">Timing-Slow paying $260k ONA &amp; $215k NYIC </t>
  </si>
  <si>
    <t>Timing- Invitations just out but early ticket sales encouraging</t>
  </si>
  <si>
    <t>$196k int/div, $34k realized; excludes unrealized gains/losses</t>
  </si>
  <si>
    <t xml:space="preserve">Adjusted Revenue $56k below budget </t>
  </si>
  <si>
    <t xml:space="preserve">3 new positions budgeted since Jan -two hired in March </t>
  </si>
  <si>
    <t>Personnel Expenses $6k under budget</t>
  </si>
  <si>
    <t>Unbudgeted Legal Server software $27k</t>
  </si>
  <si>
    <t>Expenses for Spring event</t>
  </si>
  <si>
    <t>Operating Expenses $297k over budget</t>
  </si>
  <si>
    <t>Total Expenses $290k over budget</t>
  </si>
  <si>
    <t>Adjusted Expenses $282k over budget</t>
  </si>
  <si>
    <t xml:space="preserve"> 04/30/25</t>
  </si>
  <si>
    <t>Cash &amp; Inv at end of period 04/30/25**</t>
  </si>
  <si>
    <t>**Excludes $282k ReSet cash, $2k MAP &amp; $48k Unrealized loss, but</t>
  </si>
  <si>
    <t>Bank of America- closed account</t>
  </si>
  <si>
    <t>^Includes $48,227 in unrealized loss</t>
  </si>
  <si>
    <t xml:space="preserve">      02-1200 Grants Receivable</t>
  </si>
  <si>
    <t>Tuesday, May 06, 2025 02:00:32 PM GMT-7</t>
  </si>
  <si>
    <t>and $85k Unrealized Gain</t>
  </si>
  <si>
    <t>Tuesday, May 06, 2025 02:09:15 PM GMT-7 - Cash Basis</t>
  </si>
  <si>
    <t xml:space="preserve">*Excludes $268k ReSet cash &amp; MAP Receivable of $492k- ($493k plus an audit prep adj of $864)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</si>
</sst>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"/>
    <numFmt numFmtId="166" formatCode="0.0%"/>
    <numFmt numFmtId="167" formatCode="_(&quot;$&quot;* #,##0_);_(&quot;$&quot;* \(#,##0\);_(&quot;$&quot;* &quot;-&quot;??_);_(@_)"/>
    <numFmt numFmtId="168" formatCode="_(* #,##0_);_(* \(#,##0\);_(* &quot;-&quot;??_);_(@_)"/>
    <numFmt numFmtId="169" formatCode="#,##0.00\ _€"/>
    <numFmt numFmtId="170" formatCode="&quot;$&quot;* #,##0.00\ _€"/>
    <numFmt numFmtId="171" formatCode="[$-F800]dddd\,\ mmmm\ dd\,\ yyyy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6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indexed="8"/>
      <name val="Calibri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b/>
      <sz val="12"/>
      <color indexed="8"/>
      <name val="Calibri"/>
      <family val="2"/>
    </font>
    <font>
      <sz val="12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2"/>
      <color theme="1"/>
      <name val="Arial"/>
      <family val="2"/>
    </font>
    <font>
      <sz val="12"/>
      <name val="Calibri"/>
      <family val="2"/>
    </font>
    <font>
      <b/>
      <i/>
      <sz val="12"/>
      <color indexed="8"/>
      <name val="Arial"/>
      <family val="2"/>
    </font>
    <font>
      <u/>
      <sz val="12"/>
      <color indexed="8"/>
      <name val="Arial"/>
      <family val="2"/>
    </font>
    <font>
      <sz val="12"/>
      <color rgb="FF000000"/>
      <name val="Arial"/>
      <family val="2"/>
    </font>
    <font>
      <b/>
      <sz val="12"/>
      <color indexed="8"/>
      <name val="Arial"/>
      <family val="2"/>
    </font>
    <font>
      <b/>
      <sz val="12"/>
      <color rgb="FF000000"/>
      <name val="Arial"/>
      <family val="2"/>
    </font>
    <font>
      <b/>
      <i/>
      <sz val="11"/>
      <color indexed="8"/>
      <name val="Arial"/>
      <family val="2"/>
    </font>
    <font>
      <b/>
      <sz val="14"/>
      <color indexed="8"/>
      <name val="Arial"/>
    </font>
    <font>
      <b/>
      <sz val="10"/>
      <color indexed="8"/>
      <name val="Arial"/>
    </font>
    <font>
      <b/>
      <sz val="9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</cellStyleXfs>
  <cellXfs count="159">
    <xf numFmtId="0" fontId="0" fillId="0" borderId="0" xfId="0"/>
    <xf numFmtId="22" fontId="4" fillId="0" borderId="0" xfId="3" applyNumberFormat="1" applyFont="1" applyAlignment="1">
      <alignment horizontal="left"/>
    </xf>
    <xf numFmtId="164" fontId="5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7" fillId="0" borderId="0" xfId="3" applyFont="1" applyAlignment="1">
      <alignment wrapText="1"/>
    </xf>
    <xf numFmtId="0" fontId="8" fillId="0" borderId="1" xfId="3" applyFont="1" applyBorder="1" applyAlignment="1">
      <alignment horizontal="center" wrapText="1"/>
    </xf>
    <xf numFmtId="0" fontId="6" fillId="0" borderId="0" xfId="3" applyFont="1" applyAlignment="1">
      <alignment horizontal="center" wrapText="1"/>
    </xf>
    <xf numFmtId="0" fontId="9" fillId="0" borderId="0" xfId="3" applyFont="1" applyAlignment="1">
      <alignment horizontal="center" wrapText="1"/>
    </xf>
    <xf numFmtId="0" fontId="10" fillId="0" borderId="0" xfId="3" applyFont="1" applyAlignment="1">
      <alignment horizontal="right"/>
    </xf>
    <xf numFmtId="0" fontId="8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7" fillId="0" borderId="0" xfId="3" applyFont="1"/>
    <xf numFmtId="0" fontId="1" fillId="0" borderId="0" xfId="4"/>
    <xf numFmtId="0" fontId="5" fillId="0" borderId="0" xfId="3" applyFont="1" applyAlignment="1">
      <alignment horizontal="center"/>
    </xf>
    <xf numFmtId="0" fontId="11" fillId="0" borderId="0" xfId="3" applyFont="1"/>
    <xf numFmtId="165" fontId="5" fillId="0" borderId="0" xfId="5" applyNumberFormat="1" applyFont="1"/>
    <xf numFmtId="166" fontId="6" fillId="0" borderId="0" xfId="6" applyNumberFormat="1" applyFont="1" applyAlignment="1">
      <alignment horizontal="center"/>
    </xf>
    <xf numFmtId="5" fontId="5" fillId="0" borderId="0" xfId="5" applyNumberFormat="1" applyFont="1" applyBorder="1"/>
    <xf numFmtId="167" fontId="5" fillId="0" borderId="0" xfId="5" quotePrefix="1" applyNumberFormat="1" applyFont="1" applyAlignment="1">
      <alignment horizontal="center"/>
    </xf>
    <xf numFmtId="168" fontId="5" fillId="0" borderId="0" xfId="1" applyNumberFormat="1" applyFont="1"/>
    <xf numFmtId="168" fontId="6" fillId="0" borderId="0" xfId="1" applyNumberFormat="1" applyFont="1" applyAlignment="1">
      <alignment horizontal="center"/>
    </xf>
    <xf numFmtId="167" fontId="5" fillId="0" borderId="0" xfId="5" applyNumberFormat="1" applyFont="1" applyAlignment="1">
      <alignment horizontal="center"/>
    </xf>
    <xf numFmtId="168" fontId="5" fillId="0" borderId="0" xfId="7" quotePrefix="1" applyNumberFormat="1" applyFont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5" fillId="0" borderId="0" xfId="3" applyFont="1"/>
    <xf numFmtId="0" fontId="0" fillId="0" borderId="0" xfId="0" applyBorder="1"/>
    <xf numFmtId="168" fontId="5" fillId="0" borderId="0" xfId="7" applyNumberFormat="1" applyFont="1" applyAlignment="1">
      <alignment horizontal="center"/>
    </xf>
    <xf numFmtId="168" fontId="5" fillId="0" borderId="1" xfId="1" applyNumberFormat="1" applyFont="1" applyBorder="1"/>
    <xf numFmtId="165" fontId="5" fillId="0" borderId="2" xfId="5" applyNumberFormat="1" applyFont="1" applyBorder="1"/>
    <xf numFmtId="6" fontId="5" fillId="0" borderId="0" xfId="5" applyNumberFormat="1" applyFont="1" applyBorder="1"/>
    <xf numFmtId="0" fontId="4" fillId="0" borderId="0" xfId="3" applyFont="1" applyAlignment="1">
      <alignment horizontal="center"/>
    </xf>
    <xf numFmtId="0" fontId="6" fillId="0" borderId="0" xfId="6" applyNumberFormat="1" applyFont="1" applyAlignment="1">
      <alignment horizontal="center"/>
    </xf>
    <xf numFmtId="165" fontId="5" fillId="0" borderId="3" xfId="7" applyNumberFormat="1" applyFont="1" applyBorder="1"/>
    <xf numFmtId="9" fontId="2" fillId="0" borderId="0" xfId="3" applyNumberFormat="1" applyFont="1" applyAlignment="1">
      <alignment horizontal="center"/>
    </xf>
    <xf numFmtId="0" fontId="1" fillId="0" borderId="0" xfId="4" applyFont="1"/>
    <xf numFmtId="165" fontId="5" fillId="0" borderId="0" xfId="3" applyNumberFormat="1" applyFont="1"/>
    <xf numFmtId="165" fontId="15" fillId="0" borderId="0" xfId="3" applyNumberFormat="1" applyFont="1"/>
    <xf numFmtId="0" fontId="4" fillId="0" borderId="0" xfId="3" applyFont="1"/>
    <xf numFmtId="165" fontId="7" fillId="0" borderId="0" xfId="3" applyNumberFormat="1" applyFont="1"/>
    <xf numFmtId="165" fontId="5" fillId="0" borderId="0" xfId="5" applyNumberFormat="1" applyFont="1" applyBorder="1"/>
    <xf numFmtId="166" fontId="6" fillId="0" borderId="0" xfId="6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165" fontId="5" fillId="0" borderId="1" xfId="7" applyNumberFormat="1" applyFont="1" applyBorder="1"/>
    <xf numFmtId="6" fontId="5" fillId="0" borderId="1" xfId="7" applyNumberFormat="1" applyFont="1" applyBorder="1"/>
    <xf numFmtId="165" fontId="5" fillId="0" borderId="0" xfId="6" applyNumberFormat="1" applyFont="1"/>
    <xf numFmtId="9" fontId="6" fillId="0" borderId="0" xfId="6" applyFont="1" applyAlignment="1">
      <alignment horizontal="center"/>
    </xf>
    <xf numFmtId="0" fontId="14" fillId="0" borderId="0" xfId="4" applyFont="1" applyAlignment="1">
      <alignment horizontal="center"/>
    </xf>
    <xf numFmtId="0" fontId="5" fillId="0" borderId="0" xfId="3" applyFont="1" applyFill="1" applyAlignment="1">
      <alignment horizontal="center"/>
    </xf>
    <xf numFmtId="168" fontId="5" fillId="0" borderId="0" xfId="3" applyNumberFormat="1" applyFont="1" applyAlignment="1">
      <alignment horizontal="center"/>
    </xf>
    <xf numFmtId="0" fontId="5" fillId="0" borderId="0" xfId="3" quotePrefix="1" applyFont="1" applyAlignment="1">
      <alignment horizontal="center"/>
    </xf>
    <xf numFmtId="168" fontId="5" fillId="0" borderId="3" xfId="1" applyNumberFormat="1" applyFont="1" applyBorder="1"/>
    <xf numFmtId="168" fontId="6" fillId="0" borderId="0" xfId="1" applyNumberFormat="1" applyFont="1" applyBorder="1" applyAlignment="1">
      <alignment horizontal="center"/>
    </xf>
    <xf numFmtId="43" fontId="4" fillId="0" borderId="0" xfId="3" applyNumberFormat="1" applyFont="1" applyAlignment="1">
      <alignment horizontal="center"/>
    </xf>
    <xf numFmtId="168" fontId="5" fillId="0" borderId="4" xfId="1" applyNumberFormat="1" applyFont="1" applyBorder="1"/>
    <xf numFmtId="165" fontId="5" fillId="0" borderId="3" xfId="5" applyNumberFormat="1" applyFont="1" applyBorder="1"/>
    <xf numFmtId="5" fontId="5" fillId="0" borderId="3" xfId="5" applyNumberFormat="1" applyFont="1" applyBorder="1"/>
    <xf numFmtId="0" fontId="8" fillId="0" borderId="0" xfId="3" applyFont="1"/>
    <xf numFmtId="168" fontId="8" fillId="0" borderId="0" xfId="1" applyNumberFormat="1" applyFont="1"/>
    <xf numFmtId="0" fontId="5" fillId="0" borderId="0" xfId="3" applyFont="1" applyBorder="1"/>
    <xf numFmtId="5" fontId="5" fillId="0" borderId="5" xfId="3" applyNumberFormat="1" applyFont="1" applyBorder="1"/>
    <xf numFmtId="7" fontId="6" fillId="0" borderId="0" xfId="3" applyNumberFormat="1" applyFont="1" applyBorder="1" applyAlignment="1">
      <alignment horizontal="center"/>
    </xf>
    <xf numFmtId="165" fontId="5" fillId="0" borderId="5" xfId="3" applyNumberFormat="1" applyFont="1" applyBorder="1"/>
    <xf numFmtId="5" fontId="8" fillId="0" borderId="0" xfId="3" applyNumberFormat="1" applyFont="1" applyBorder="1"/>
    <xf numFmtId="7" fontId="6" fillId="0" borderId="0" xfId="3" applyNumberFormat="1" applyFont="1" applyAlignment="1">
      <alignment horizontal="center"/>
    </xf>
    <xf numFmtId="168" fontId="8" fillId="0" borderId="0" xfId="3" applyNumberFormat="1" applyFont="1" applyBorder="1"/>
    <xf numFmtId="165" fontId="8" fillId="0" borderId="0" xfId="3" applyNumberFormat="1" applyFont="1" applyBorder="1"/>
    <xf numFmtId="165" fontId="6" fillId="0" borderId="0" xfId="3" applyNumberFormat="1" applyFont="1" applyAlignment="1">
      <alignment horizontal="center"/>
    </xf>
    <xf numFmtId="165" fontId="2" fillId="0" borderId="0" xfId="3" applyNumberFormat="1" applyAlignment="1">
      <alignment horizontal="center"/>
    </xf>
    <xf numFmtId="165" fontId="5" fillId="0" borderId="0" xfId="3" applyNumberFormat="1" applyFont="1" applyAlignment="1">
      <alignment horizontal="center"/>
    </xf>
    <xf numFmtId="49" fontId="16" fillId="0" borderId="2" xfId="3" applyNumberFormat="1" applyFont="1" applyBorder="1" applyAlignment="1">
      <alignment horizontal="center"/>
    </xf>
    <xf numFmtId="0" fontId="0" fillId="0" borderId="2" xfId="0" applyBorder="1"/>
    <xf numFmtId="165" fontId="6" fillId="0" borderId="0" xfId="3" applyNumberFormat="1" applyFont="1" applyBorder="1" applyAlignment="1">
      <alignment horizontal="center"/>
    </xf>
    <xf numFmtId="165" fontId="2" fillId="0" borderId="0" xfId="3" applyNumberFormat="1" applyBorder="1" applyAlignment="1">
      <alignment horizontal="center"/>
    </xf>
    <xf numFmtId="165" fontId="5" fillId="0" borderId="0" xfId="3" applyNumberFormat="1" applyFont="1" applyBorder="1"/>
    <xf numFmtId="49" fontId="11" fillId="0" borderId="8" xfId="3" applyNumberFormat="1" applyFont="1" applyBorder="1"/>
    <xf numFmtId="5" fontId="18" fillId="0" borderId="0" xfId="8" applyNumberFormat="1" applyFont="1" applyBorder="1"/>
    <xf numFmtId="49" fontId="9" fillId="0" borderId="0" xfId="3" applyNumberFormat="1" applyFont="1" applyBorder="1" applyAlignment="1">
      <alignment horizontal="center"/>
    </xf>
    <xf numFmtId="0" fontId="11" fillId="0" borderId="0" xfId="3" applyFont="1" applyBorder="1"/>
    <xf numFmtId="49" fontId="11" fillId="0" borderId="0" xfId="3" applyNumberFormat="1" applyFont="1" applyBorder="1"/>
    <xf numFmtId="165" fontId="18" fillId="0" borderId="7" xfId="8" applyNumberFormat="1" applyFont="1" applyBorder="1"/>
    <xf numFmtId="168" fontId="18" fillId="0" borderId="1" xfId="1" applyNumberFormat="1" applyFont="1" applyBorder="1"/>
    <xf numFmtId="168" fontId="11" fillId="0" borderId="7" xfId="1" applyNumberFormat="1" applyFont="1" applyBorder="1"/>
    <xf numFmtId="49" fontId="19" fillId="0" borderId="8" xfId="3" applyNumberFormat="1" applyFont="1" applyBorder="1"/>
    <xf numFmtId="5" fontId="20" fillId="0" borderId="9" xfId="8" applyNumberFormat="1" applyFont="1" applyBorder="1"/>
    <xf numFmtId="168" fontId="18" fillId="0" borderId="7" xfId="1" applyNumberFormat="1" applyFont="1" applyBorder="1"/>
    <xf numFmtId="0" fontId="21" fillId="0" borderId="8" xfId="3" applyFont="1" applyBorder="1" applyAlignment="1">
      <alignment horizontal="left"/>
    </xf>
    <xf numFmtId="0" fontId="13" fillId="0" borderId="0" xfId="0" applyFont="1"/>
    <xf numFmtId="0" fontId="9" fillId="0" borderId="0" xfId="3" applyFont="1" applyBorder="1"/>
    <xf numFmtId="49" fontId="11" fillId="0" borderId="0" xfId="3" applyNumberFormat="1" applyFont="1" applyFill="1" applyBorder="1"/>
    <xf numFmtId="0" fontId="9" fillId="0" borderId="0" xfId="3" applyFont="1" applyBorder="1" applyAlignment="1">
      <alignment horizontal="center"/>
    </xf>
    <xf numFmtId="0" fontId="16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/>
    <xf numFmtId="165" fontId="11" fillId="0" borderId="0" xfId="2" applyNumberFormat="1" applyFont="1" applyBorder="1"/>
    <xf numFmtId="165" fontId="11" fillId="0" borderId="7" xfId="2" applyNumberFormat="1" applyFont="1" applyBorder="1"/>
    <xf numFmtId="9" fontId="9" fillId="0" borderId="0" xfId="3" applyNumberFormat="1" applyFont="1" applyBorder="1" applyAlignment="1">
      <alignment horizontal="center"/>
    </xf>
    <xf numFmtId="3" fontId="11" fillId="0" borderId="0" xfId="1" applyNumberFormat="1" applyFont="1" applyBorder="1"/>
    <xf numFmtId="3" fontId="0" fillId="0" borderId="0" xfId="0" applyNumberFormat="1" applyBorder="1"/>
    <xf numFmtId="3" fontId="11" fillId="0" borderId="7" xfId="1" applyNumberFormat="1" applyFont="1" applyBorder="1"/>
    <xf numFmtId="49" fontId="19" fillId="0" borderId="0" xfId="3" applyNumberFormat="1" applyFont="1" applyFill="1" applyBorder="1"/>
    <xf numFmtId="165" fontId="19" fillId="0" borderId="6" xfId="1" applyNumberFormat="1" applyFont="1" applyBorder="1"/>
    <xf numFmtId="165" fontId="0" fillId="0" borderId="0" xfId="0" applyNumberFormat="1"/>
    <xf numFmtId="49" fontId="19" fillId="0" borderId="8" xfId="3" applyNumberFormat="1" applyFont="1" applyFill="1" applyBorder="1"/>
    <xf numFmtId="165" fontId="11" fillId="0" borderId="9" xfId="1" applyNumberFormat="1" applyFont="1" applyBorder="1"/>
    <xf numFmtId="168" fontId="11" fillId="0" borderId="7" xfId="0" applyNumberFormat="1" applyFont="1" applyBorder="1"/>
    <xf numFmtId="165" fontId="9" fillId="0" borderId="0" xfId="3" applyNumberFormat="1" applyFont="1" applyBorder="1" applyAlignment="1">
      <alignment horizontal="center"/>
    </xf>
    <xf numFmtId="165" fontId="11" fillId="0" borderId="0" xfId="1" applyNumberFormat="1" applyFont="1" applyBorder="1"/>
    <xf numFmtId="49" fontId="19" fillId="0" borderId="0" xfId="3" applyNumberFormat="1" applyFont="1" applyBorder="1"/>
    <xf numFmtId="5" fontId="20" fillId="0" borderId="12" xfId="8" applyNumberFormat="1" applyFont="1" applyBorder="1"/>
    <xf numFmtId="3" fontId="11" fillId="0" borderId="0" xfId="1" applyNumberFormat="1" applyFont="1" applyFill="1" applyBorder="1"/>
    <xf numFmtId="0" fontId="19" fillId="0" borderId="10" xfId="0" applyFont="1" applyBorder="1"/>
    <xf numFmtId="165" fontId="11" fillId="0" borderId="1" xfId="2" applyNumberFormat="1" applyFont="1" applyBorder="1"/>
    <xf numFmtId="0" fontId="0" fillId="0" borderId="1" xfId="0" applyBorder="1"/>
    <xf numFmtId="0" fontId="9" fillId="0" borderId="1" xfId="3" applyFont="1" applyBorder="1" applyAlignment="1">
      <alignment horizontal="center"/>
    </xf>
    <xf numFmtId="0" fontId="11" fillId="0" borderId="1" xfId="3" applyFont="1" applyBorder="1"/>
    <xf numFmtId="0" fontId="0" fillId="0" borderId="13" xfId="0" applyBorder="1"/>
    <xf numFmtId="0" fontId="19" fillId="0" borderId="0" xfId="3" applyFont="1"/>
    <xf numFmtId="0" fontId="11" fillId="0" borderId="0" xfId="3" applyFont="1" applyAlignment="1">
      <alignment horizontal="center"/>
    </xf>
    <xf numFmtId="0" fontId="0" fillId="0" borderId="14" xfId="0" applyBorder="1"/>
    <xf numFmtId="5" fontId="5" fillId="0" borderId="2" xfId="1" applyNumberFormat="1" applyFont="1" applyBorder="1"/>
    <xf numFmtId="5" fontId="5" fillId="0" borderId="0" xfId="1" applyNumberFormat="1" applyFont="1" applyBorder="1"/>
    <xf numFmtId="0" fontId="5" fillId="0" borderId="0" xfId="0" applyFont="1" applyBorder="1" applyAlignment="1">
      <alignment horizontal="center" wrapText="1"/>
    </xf>
    <xf numFmtId="49" fontId="16" fillId="0" borderId="11" xfId="3" applyNumberFormat="1" applyFont="1" applyBorder="1" applyAlignment="1">
      <alignment horizontal="center"/>
    </xf>
    <xf numFmtId="0" fontId="0" fillId="0" borderId="8" xfId="0" applyBorder="1"/>
    <xf numFmtId="14" fontId="0" fillId="0" borderId="0" xfId="0" applyNumberFormat="1"/>
    <xf numFmtId="168" fontId="0" fillId="0" borderId="0" xfId="0" applyNumberFormat="1"/>
    <xf numFmtId="5" fontId="5" fillId="0" borderId="3" xfId="1" applyNumberFormat="1" applyFont="1" applyBorder="1"/>
    <xf numFmtId="166" fontId="9" fillId="0" borderId="0" xfId="3" applyNumberFormat="1" applyFont="1" applyBorder="1" applyAlignment="1">
      <alignment horizontal="center"/>
    </xf>
    <xf numFmtId="168" fontId="11" fillId="0" borderId="9" xfId="1" applyNumberFormat="1" applyFont="1" applyBorder="1"/>
    <xf numFmtId="0" fontId="0" fillId="0" borderId="7" xfId="0" applyBorder="1"/>
    <xf numFmtId="0" fontId="16" fillId="0" borderId="1" xfId="0" applyFont="1" applyFill="1" applyBorder="1"/>
    <xf numFmtId="168" fontId="14" fillId="0" borderId="0" xfId="1" applyNumberFormat="1" applyFont="1"/>
    <xf numFmtId="0" fontId="5" fillId="0" borderId="2" xfId="3" applyFont="1" applyBorder="1" applyAlignment="1">
      <alignment horizontal="center" wrapText="1"/>
    </xf>
    <xf numFmtId="0" fontId="5" fillId="0" borderId="6" xfId="3" applyFont="1" applyBorder="1" applyAlignment="1">
      <alignment horizontal="center" wrapText="1"/>
    </xf>
    <xf numFmtId="171" fontId="17" fillId="0" borderId="0" xfId="3" applyNumberFormat="1" applyFont="1" applyBorder="1" applyAlignment="1">
      <alignment horizontal="center"/>
    </xf>
    <xf numFmtId="0" fontId="25" fillId="0" borderId="0" xfId="0" applyFont="1" applyAlignment="1">
      <alignment horizontal="left" wrapText="1"/>
    </xf>
    <xf numFmtId="169" fontId="26" fillId="0" borderId="0" xfId="0" applyNumberFormat="1" applyFont="1" applyAlignment="1">
      <alignment wrapText="1"/>
    </xf>
    <xf numFmtId="169" fontId="26" fillId="0" borderId="0" xfId="0" applyNumberFormat="1" applyFont="1" applyAlignment="1">
      <alignment horizontal="right" wrapText="1"/>
    </xf>
    <xf numFmtId="170" fontId="25" fillId="0" borderId="2" xfId="0" applyNumberFormat="1" applyFont="1" applyBorder="1" applyAlignment="1">
      <alignment horizontal="right" wrapText="1"/>
    </xf>
    <xf numFmtId="10" fontId="26" fillId="0" borderId="0" xfId="0" applyNumberFormat="1" applyFont="1" applyAlignment="1">
      <alignment horizontal="right" wrapText="1"/>
    </xf>
    <xf numFmtId="10" fontId="25" fillId="0" borderId="2" xfId="0" applyNumberFormat="1" applyFont="1" applyBorder="1" applyAlignment="1">
      <alignment horizontal="right" wrapText="1"/>
    </xf>
    <xf numFmtId="0" fontId="0" fillId="0" borderId="0" xfId="0"/>
    <xf numFmtId="0" fontId="0" fillId="0" borderId="0" xfId="0" applyAlignment="1">
      <alignment wrapText="1"/>
    </xf>
    <xf numFmtId="0" fontId="24" fillId="0" borderId="1" xfId="0" applyFont="1" applyBorder="1" applyAlignment="1">
      <alignment horizontal="center" wrapText="1"/>
    </xf>
    <xf numFmtId="0" fontId="27" fillId="0" borderId="0" xfId="3" applyFont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wrapText="1"/>
    </xf>
    <xf numFmtId="164" fontId="3" fillId="0" borderId="0" xfId="3" applyNumberFormat="1" applyFont="1" applyAlignment="1">
      <alignment horizontal="center"/>
    </xf>
    <xf numFmtId="164" fontId="3" fillId="2" borderId="0" xfId="3" applyNumberFormat="1" applyFont="1" applyFill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0" fillId="0" borderId="0" xfId="0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Border="1" applyAlignment="1">
      <alignment horizontal="center" wrapText="1"/>
    </xf>
    <xf numFmtId="0" fontId="0" fillId="0" borderId="0" xfId="0" applyAlignment="1">
      <alignment wrapText="1"/>
    </xf>
  </cellXfs>
  <cellStyles count="9">
    <cellStyle name="Comma" xfId="1" builtinId="3"/>
    <cellStyle name="Comma 2" xfId="7" xr:uid="{CDD432F3-3B40-4DE3-8B37-36C02E9FC1D5}"/>
    <cellStyle name="Currency" xfId="2" builtinId="4"/>
    <cellStyle name="Currency 2" xfId="5" xr:uid="{1150F0D3-9430-4836-9512-9FAF9AEC012D}"/>
    <cellStyle name="Normal" xfId="0" builtinId="0"/>
    <cellStyle name="Normal 2" xfId="8" xr:uid="{F1CF47E4-25E0-4098-BA84-1295D384304D}"/>
    <cellStyle name="Normal 3" xfId="3" xr:uid="{F497EA39-D962-4300-8E05-AF550FD0CBA4}"/>
    <cellStyle name="Normal 4" xfId="4" xr:uid="{E6F1E5B1-24CE-4F93-9BB5-5458401927C9}"/>
    <cellStyle name="Percent 2" xfId="6" xr:uid="{437E37E7-FF06-4450-9146-4910556651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3AA76-2A17-4461-98C0-31F6929D468C}">
  <sheetPr>
    <pageSetUpPr fitToPage="1"/>
  </sheetPr>
  <dimension ref="A1:M74"/>
  <sheetViews>
    <sheetView tabSelected="1" workbookViewId="0">
      <selection activeCell="E58" sqref="E58"/>
    </sheetView>
  </sheetViews>
  <sheetFormatPr defaultRowHeight="14.25" x14ac:dyDescent="0.45"/>
  <cols>
    <col min="1" max="1" width="41.265625" customWidth="1"/>
    <col min="2" max="2" width="16.1328125" customWidth="1"/>
    <col min="3" max="3" width="3.73046875" customWidth="1"/>
    <col min="4" max="4" width="15.59765625" customWidth="1"/>
    <col min="5" max="5" width="8.1328125" customWidth="1"/>
    <col min="6" max="6" width="15.1328125" customWidth="1"/>
    <col min="7" max="7" width="74.73046875" customWidth="1"/>
    <col min="8" max="8" width="15" customWidth="1"/>
    <col min="9" max="9" width="11.1328125" bestFit="1" customWidth="1"/>
    <col min="10" max="10" width="10.73046875" bestFit="1" customWidth="1"/>
  </cols>
  <sheetData>
    <row r="1" spans="1:8" ht="20.65" x14ac:dyDescent="0.6">
      <c r="A1" s="150" t="s">
        <v>0</v>
      </c>
      <c r="B1" s="150"/>
      <c r="C1" s="150"/>
      <c r="D1" s="150"/>
      <c r="E1" s="150"/>
      <c r="F1" s="150"/>
      <c r="G1" s="150"/>
      <c r="H1" s="150"/>
    </row>
    <row r="2" spans="1:8" ht="20.65" x14ac:dyDescent="0.6">
      <c r="A2" s="151" t="s">
        <v>486</v>
      </c>
      <c r="B2" s="151"/>
      <c r="C2" s="151"/>
      <c r="D2" s="151"/>
      <c r="E2" s="151"/>
      <c r="F2" s="151"/>
      <c r="G2" s="151"/>
      <c r="H2" s="151"/>
    </row>
    <row r="3" spans="1:8" ht="15.4" x14ac:dyDescent="0.45">
      <c r="A3" s="1" t="s">
        <v>1</v>
      </c>
      <c r="B3" s="2"/>
      <c r="C3" s="3"/>
      <c r="D3" s="2"/>
      <c r="E3" s="3"/>
      <c r="F3" s="2"/>
      <c r="G3" s="2"/>
      <c r="H3" s="2"/>
    </row>
    <row r="4" spans="1:8" ht="46.15" x14ac:dyDescent="0.55000000000000004">
      <c r="A4" s="4"/>
      <c r="B4" s="5" t="s">
        <v>2</v>
      </c>
      <c r="C4" s="6"/>
      <c r="D4" s="5" t="s">
        <v>3</v>
      </c>
      <c r="E4" s="7"/>
      <c r="F4" s="5" t="s">
        <v>4</v>
      </c>
      <c r="G4" s="145"/>
      <c r="H4" s="5" t="s">
        <v>461</v>
      </c>
    </row>
    <row r="5" spans="1:8" ht="15.75" x14ac:dyDescent="0.5">
      <c r="A5" s="8" t="s">
        <v>5</v>
      </c>
      <c r="B5" s="9" t="s">
        <v>5</v>
      </c>
      <c r="C5" s="10"/>
      <c r="D5" s="11" t="s">
        <v>5</v>
      </c>
      <c r="E5" s="12"/>
      <c r="F5" s="12"/>
      <c r="G5" s="13"/>
      <c r="H5" s="11" t="s">
        <v>5</v>
      </c>
    </row>
    <row r="6" spans="1:8" ht="15.4" x14ac:dyDescent="0.45">
      <c r="A6" s="14" t="s">
        <v>6</v>
      </c>
      <c r="B6" s="15">
        <f>+Budget!B12</f>
        <v>263263.13</v>
      </c>
      <c r="C6" s="16"/>
      <c r="D6" s="15">
        <f>+Budget!C12</f>
        <v>347335</v>
      </c>
      <c r="E6" s="16"/>
      <c r="F6" s="17">
        <f>+B6-D6</f>
        <v>-84071.87</v>
      </c>
      <c r="G6" s="18" t="s">
        <v>498</v>
      </c>
      <c r="H6" s="15">
        <v>550000</v>
      </c>
    </row>
    <row r="7" spans="1:8" ht="15.4" x14ac:dyDescent="0.45">
      <c r="A7" s="14" t="s">
        <v>7</v>
      </c>
      <c r="B7" s="19">
        <f>+Budget!B14+Budget!B15</f>
        <v>258250</v>
      </c>
      <c r="C7" s="20"/>
      <c r="D7" s="19">
        <f>+Budget!C14+Budget!C15</f>
        <v>200250</v>
      </c>
      <c r="E7" s="16"/>
      <c r="F7" s="19">
        <f>+B7-D7</f>
        <v>58000</v>
      </c>
      <c r="G7" s="21" t="s">
        <v>499</v>
      </c>
      <c r="H7" s="19">
        <v>1800000</v>
      </c>
    </row>
    <row r="8" spans="1:8" ht="15.4" x14ac:dyDescent="0.45">
      <c r="A8" s="14" t="s">
        <v>8</v>
      </c>
      <c r="B8" s="19">
        <f>+Budget!B18</f>
        <v>89008</v>
      </c>
      <c r="C8" s="20"/>
      <c r="D8" s="19">
        <f>+Budget!C18</f>
        <v>89008</v>
      </c>
      <c r="E8" s="20"/>
      <c r="F8" s="19">
        <f t="shared" ref="F8:F22" si="0">+B8-D8</f>
        <v>0</v>
      </c>
      <c r="G8" s="21"/>
      <c r="H8" s="19">
        <v>530000</v>
      </c>
    </row>
    <row r="9" spans="1:8" ht="15.4" x14ac:dyDescent="0.45">
      <c r="A9" s="14" t="s">
        <v>9</v>
      </c>
      <c r="B9" s="19">
        <f>+Budget!B13</f>
        <v>0</v>
      </c>
      <c r="C9" s="20"/>
      <c r="D9" s="19">
        <f>+Budget!C13</f>
        <v>0</v>
      </c>
      <c r="E9" s="20"/>
      <c r="F9" s="19">
        <f t="shared" si="0"/>
        <v>0</v>
      </c>
      <c r="G9" s="21"/>
      <c r="H9" s="19">
        <v>82000</v>
      </c>
    </row>
    <row r="10" spans="1:8" ht="15.4" x14ac:dyDescent="0.45">
      <c r="A10" s="14" t="s">
        <v>10</v>
      </c>
      <c r="B10" s="19">
        <f>+Budget!B23+Budget!B19</f>
        <v>34606.879999999997</v>
      </c>
      <c r="C10" s="20"/>
      <c r="D10" s="19">
        <f>+Budget!C23+Budget!C19</f>
        <v>28314.17</v>
      </c>
      <c r="E10" s="20"/>
      <c r="F10" s="19">
        <f t="shared" si="0"/>
        <v>6292.7099999999991</v>
      </c>
      <c r="G10" s="22"/>
      <c r="H10" s="19">
        <v>60000</v>
      </c>
    </row>
    <row r="11" spans="1:8" ht="15.4" x14ac:dyDescent="0.45">
      <c r="A11" s="14" t="s">
        <v>11</v>
      </c>
      <c r="B11" s="19">
        <f>+Budget!B25+Budget!B27</f>
        <v>903717.37</v>
      </c>
      <c r="C11" s="20"/>
      <c r="D11" s="19">
        <f>+Budget!C25+Budget!C27</f>
        <v>664250</v>
      </c>
      <c r="E11" s="20"/>
      <c r="F11" s="19">
        <f t="shared" si="0"/>
        <v>239467.37</v>
      </c>
      <c r="G11" s="23" t="s">
        <v>500</v>
      </c>
      <c r="H11" s="19">
        <v>1327375</v>
      </c>
    </row>
    <row r="12" spans="1:8" ht="18" customHeight="1" x14ac:dyDescent="0.45">
      <c r="A12" s="14" t="s">
        <v>12</v>
      </c>
      <c r="B12" s="19">
        <f>+Budget!B26</f>
        <v>980525.54</v>
      </c>
      <c r="C12" s="20"/>
      <c r="D12" s="19">
        <f>+Budget!C26</f>
        <v>972638.06</v>
      </c>
      <c r="E12" s="20"/>
      <c r="F12" s="19">
        <f t="shared" si="0"/>
        <v>7887.4799999999814</v>
      </c>
      <c r="G12" s="24"/>
      <c r="H12" s="19">
        <v>1800000</v>
      </c>
    </row>
    <row r="13" spans="1:8" ht="15.4" x14ac:dyDescent="0.45">
      <c r="A13" s="25" t="s">
        <v>13</v>
      </c>
      <c r="B13" s="19">
        <f>+Budget!B28</f>
        <v>808503.29</v>
      </c>
      <c r="C13" s="20"/>
      <c r="D13" s="19">
        <f>+Budget!C28</f>
        <v>1296316.97</v>
      </c>
      <c r="E13" s="20"/>
      <c r="F13" s="19">
        <f t="shared" si="0"/>
        <v>-487813.67999999993</v>
      </c>
      <c r="G13" s="122" t="s">
        <v>501</v>
      </c>
      <c r="H13" s="19">
        <v>3766455</v>
      </c>
    </row>
    <row r="14" spans="1:8" ht="15.4" x14ac:dyDescent="0.45">
      <c r="A14" s="14" t="s">
        <v>14</v>
      </c>
      <c r="B14" s="19">
        <f>+Budget!B39</f>
        <v>7910</v>
      </c>
      <c r="C14" s="20"/>
      <c r="D14" s="19">
        <f>+Budget!C39</f>
        <v>12000</v>
      </c>
      <c r="E14" s="20"/>
      <c r="F14" s="19">
        <f t="shared" si="0"/>
        <v>-4090</v>
      </c>
      <c r="G14" s="26"/>
      <c r="H14" s="19">
        <v>39825</v>
      </c>
    </row>
    <row r="15" spans="1:8" ht="15.4" x14ac:dyDescent="0.45">
      <c r="A15" s="14" t="s">
        <v>15</v>
      </c>
      <c r="B15" s="19">
        <f>+Budget!B46</f>
        <v>193645.66</v>
      </c>
      <c r="C15" s="20"/>
      <c r="D15" s="19">
        <f>+Budget!C46</f>
        <v>100000</v>
      </c>
      <c r="E15" s="20"/>
      <c r="F15" s="19">
        <f t="shared" si="0"/>
        <v>93645.66</v>
      </c>
      <c r="G15" s="23" t="s">
        <v>502</v>
      </c>
      <c r="H15" s="19">
        <v>600000</v>
      </c>
    </row>
    <row r="16" spans="1:8" ht="15.4" x14ac:dyDescent="0.45">
      <c r="A16" s="14" t="s">
        <v>16</v>
      </c>
      <c r="B16" s="19">
        <f>+Budget!B51</f>
        <v>0</v>
      </c>
      <c r="C16" s="20"/>
      <c r="D16" s="19">
        <f>+Budget!C51</f>
        <v>0</v>
      </c>
      <c r="E16" s="20"/>
      <c r="F16" s="19">
        <f t="shared" si="0"/>
        <v>0</v>
      </c>
      <c r="G16" s="23"/>
      <c r="H16" s="19">
        <v>80000</v>
      </c>
    </row>
    <row r="17" spans="1:8" ht="15.4" x14ac:dyDescent="0.45">
      <c r="A17" s="14" t="s">
        <v>17</v>
      </c>
      <c r="B17" s="19">
        <f>+Budget!B55</f>
        <v>407</v>
      </c>
      <c r="C17" s="20"/>
      <c r="D17" s="19">
        <f>+Budget!C55</f>
        <v>0</v>
      </c>
      <c r="E17" s="20"/>
      <c r="F17" s="19">
        <f t="shared" si="0"/>
        <v>407</v>
      </c>
      <c r="G17" s="23"/>
      <c r="H17" s="19">
        <v>0</v>
      </c>
    </row>
    <row r="18" spans="1:8" ht="15.4" x14ac:dyDescent="0.45">
      <c r="A18" s="14" t="s">
        <v>18</v>
      </c>
      <c r="B18" s="19">
        <f>+Budget!B278-Budget!B275</f>
        <v>229452.41</v>
      </c>
      <c r="C18" s="20"/>
      <c r="D18" s="19">
        <f>+Budget!C278-Budget!C275</f>
        <v>113206.47</v>
      </c>
      <c r="E18" s="20"/>
      <c r="F18" s="19">
        <f t="shared" si="0"/>
        <v>116245.94</v>
      </c>
      <c r="G18" s="27" t="s">
        <v>503</v>
      </c>
      <c r="H18" s="19">
        <v>200000</v>
      </c>
    </row>
    <row r="19" spans="1:8" ht="15.4" x14ac:dyDescent="0.45">
      <c r="A19" s="14" t="s">
        <v>19</v>
      </c>
      <c r="B19" s="19">
        <f>+Budget!B59</f>
        <v>5422.63</v>
      </c>
      <c r="C19" s="20"/>
      <c r="D19" s="19">
        <f>+Budget!C59</f>
        <v>0</v>
      </c>
      <c r="E19" s="20"/>
      <c r="F19" s="19">
        <f t="shared" si="0"/>
        <v>5422.63</v>
      </c>
      <c r="G19" s="27"/>
      <c r="H19" s="28">
        <v>0</v>
      </c>
    </row>
    <row r="20" spans="1:8" ht="15.4" x14ac:dyDescent="0.45">
      <c r="A20" s="25" t="s">
        <v>20</v>
      </c>
      <c r="B20" s="29">
        <f>SUM(B6:B19)</f>
        <v>3774711.91</v>
      </c>
      <c r="C20" s="16"/>
      <c r="D20" s="29">
        <f>SUM(D6:D19)</f>
        <v>3823318.6700000004</v>
      </c>
      <c r="E20" s="30"/>
      <c r="F20" s="120">
        <f t="shared" si="0"/>
        <v>-48606.760000000242</v>
      </c>
      <c r="G20" s="31"/>
      <c r="H20" s="15">
        <f>SUM(H6:H19)</f>
        <v>10835655</v>
      </c>
    </row>
    <row r="21" spans="1:8" ht="15.4" x14ac:dyDescent="0.45">
      <c r="A21" s="25" t="s">
        <v>21</v>
      </c>
      <c r="B21" s="19">
        <f>-Budget!B26</f>
        <v>-980525.54</v>
      </c>
      <c r="C21" s="32"/>
      <c r="D21" s="19">
        <f>-Budget!C26</f>
        <v>-972638.06</v>
      </c>
      <c r="E21" s="30"/>
      <c r="F21" s="19">
        <f t="shared" si="0"/>
        <v>-7887.4799999999814</v>
      </c>
      <c r="G21" s="31"/>
      <c r="H21" s="15">
        <f>-H12</f>
        <v>-1800000</v>
      </c>
    </row>
    <row r="22" spans="1:8" ht="15.4" x14ac:dyDescent="0.45">
      <c r="A22" s="25" t="s">
        <v>22</v>
      </c>
      <c r="B22" s="33">
        <f>SUM(B20:B21)</f>
        <v>2794186.37</v>
      </c>
      <c r="C22" s="34"/>
      <c r="D22" s="33">
        <f>SUM(D20:D21)</f>
        <v>2850680.6100000003</v>
      </c>
      <c r="E22" s="35"/>
      <c r="F22" s="127">
        <f t="shared" si="0"/>
        <v>-56494.240000000224</v>
      </c>
      <c r="G22" s="31" t="s">
        <v>504</v>
      </c>
      <c r="H22" s="33">
        <f>+H20+H21</f>
        <v>9035655</v>
      </c>
    </row>
    <row r="23" spans="1:8" ht="15.75" x14ac:dyDescent="0.5">
      <c r="A23" s="25"/>
      <c r="B23" s="36"/>
      <c r="C23" s="12"/>
      <c r="D23" s="36"/>
      <c r="E23" s="12"/>
      <c r="F23" s="37"/>
      <c r="G23" s="31"/>
      <c r="H23" s="36"/>
    </row>
    <row r="24" spans="1:8" ht="15.75" x14ac:dyDescent="0.5">
      <c r="A24" s="38" t="s">
        <v>23</v>
      </c>
      <c r="B24" s="36" t="s">
        <v>5</v>
      </c>
      <c r="C24" s="12"/>
      <c r="D24" s="36" t="s">
        <v>5</v>
      </c>
      <c r="E24" s="12"/>
      <c r="F24" s="37" t="s">
        <v>5</v>
      </c>
      <c r="G24" s="31"/>
      <c r="H24" s="39"/>
    </row>
    <row r="25" spans="1:8" ht="15.4" x14ac:dyDescent="0.45">
      <c r="A25" s="25" t="s">
        <v>24</v>
      </c>
      <c r="B25" s="40">
        <f>+Budget!B141</f>
        <v>1804177.3399999994</v>
      </c>
      <c r="C25" s="41"/>
      <c r="D25" s="40">
        <f>+Budget!C141</f>
        <v>1821061.5199999991</v>
      </c>
      <c r="E25" s="30"/>
      <c r="F25" s="121">
        <f t="shared" ref="F25:F29" si="1">+B25-D25</f>
        <v>-16884.179999999702</v>
      </c>
      <c r="G25" s="42" t="s">
        <v>505</v>
      </c>
      <c r="H25" s="40">
        <v>5735747</v>
      </c>
    </row>
    <row r="26" spans="1:8" ht="15.4" x14ac:dyDescent="0.45">
      <c r="A26" s="25" t="s">
        <v>25</v>
      </c>
      <c r="B26" s="19">
        <f>+Budget!B144</f>
        <v>176950.26</v>
      </c>
      <c r="C26" s="20"/>
      <c r="D26" s="19">
        <f>+Budget!C144</f>
        <v>161298.60999999999</v>
      </c>
      <c r="E26" s="20"/>
      <c r="F26" s="19">
        <f t="shared" si="1"/>
        <v>15651.650000000023</v>
      </c>
      <c r="G26" s="42"/>
      <c r="H26" s="19">
        <v>458860</v>
      </c>
    </row>
    <row r="27" spans="1:8" ht="15.4" x14ac:dyDescent="0.45">
      <c r="A27" s="25" t="s">
        <v>26</v>
      </c>
      <c r="B27" s="19">
        <f>+Budget!B154</f>
        <v>189703.49000000002</v>
      </c>
      <c r="C27" s="20" t="s">
        <v>5</v>
      </c>
      <c r="D27" s="19">
        <f>+Budget!C154</f>
        <v>196631.81</v>
      </c>
      <c r="E27" s="20"/>
      <c r="F27" s="19">
        <f t="shared" si="1"/>
        <v>-6928.3199999999779</v>
      </c>
      <c r="G27" s="42"/>
      <c r="H27" s="19">
        <v>586000</v>
      </c>
    </row>
    <row r="28" spans="1:8" ht="15.4" x14ac:dyDescent="0.45">
      <c r="A28" s="25" t="s">
        <v>27</v>
      </c>
      <c r="B28" s="19">
        <f>+Budget!B157</f>
        <v>23958.6</v>
      </c>
      <c r="C28" s="20"/>
      <c r="D28" s="19">
        <f>+Budget!C157</f>
        <v>20498.91</v>
      </c>
      <c r="E28" s="20"/>
      <c r="F28" s="19">
        <f t="shared" si="1"/>
        <v>3459.6899999999987</v>
      </c>
      <c r="G28" s="42"/>
      <c r="H28" s="19">
        <v>61010</v>
      </c>
    </row>
    <row r="29" spans="1:8" ht="15.4" x14ac:dyDescent="0.45">
      <c r="A29" s="25" t="s">
        <v>28</v>
      </c>
      <c r="B29" s="19">
        <f>+Budget!B163</f>
        <v>32443.23</v>
      </c>
      <c r="C29" s="20"/>
      <c r="D29" s="19">
        <f>+Budget!C163</f>
        <v>34214.99</v>
      </c>
      <c r="E29" s="20"/>
      <c r="F29" s="19">
        <f t="shared" si="1"/>
        <v>-1771.7599999999984</v>
      </c>
      <c r="G29" s="42"/>
      <c r="H29" s="19">
        <v>109810</v>
      </c>
    </row>
    <row r="30" spans="1:8" ht="15.4" x14ac:dyDescent="0.45">
      <c r="A30" s="25"/>
      <c r="B30" s="43"/>
      <c r="C30" s="12"/>
      <c r="D30" s="43"/>
      <c r="E30" s="12"/>
      <c r="F30" s="44"/>
      <c r="H30" s="28"/>
    </row>
    <row r="31" spans="1:8" ht="15.4" x14ac:dyDescent="0.45">
      <c r="A31" s="25" t="s">
        <v>29</v>
      </c>
      <c r="B31" s="40">
        <f>SUM(B25:B30)</f>
        <v>2227232.9199999995</v>
      </c>
      <c r="C31" s="20"/>
      <c r="D31" s="40">
        <f>SUM(D25:D30)</f>
        <v>2233705.8399999994</v>
      </c>
      <c r="E31" s="20"/>
      <c r="F31" s="17">
        <f>SUM(F25:F30)</f>
        <v>-6472.9199999996563</v>
      </c>
      <c r="G31" s="42" t="s">
        <v>506</v>
      </c>
      <c r="H31" s="40">
        <f>SUM(H25:H30)</f>
        <v>6951427</v>
      </c>
    </row>
    <row r="32" spans="1:8" ht="15.4" x14ac:dyDescent="0.45">
      <c r="A32" s="25"/>
      <c r="B32" s="45"/>
      <c r="C32" s="46"/>
      <c r="D32" s="45"/>
      <c r="E32" s="46"/>
      <c r="F32" s="45"/>
      <c r="G32" s="47"/>
      <c r="H32" s="45" t="s">
        <v>5</v>
      </c>
    </row>
    <row r="33" spans="1:13" ht="15.75" x14ac:dyDescent="0.5">
      <c r="A33" s="38" t="s">
        <v>30</v>
      </c>
      <c r="B33" s="36" t="s">
        <v>5</v>
      </c>
      <c r="C33" s="12"/>
      <c r="D33" s="36" t="s">
        <v>5</v>
      </c>
      <c r="E33" s="12"/>
      <c r="F33" s="37" t="s">
        <v>5</v>
      </c>
      <c r="G33" s="31"/>
      <c r="H33" s="39" t="s">
        <v>5</v>
      </c>
    </row>
    <row r="34" spans="1:13" ht="15.4" x14ac:dyDescent="0.45">
      <c r="A34" s="25" t="s">
        <v>31</v>
      </c>
      <c r="B34" s="40">
        <f>+Budget!B207-Budget!B204</f>
        <v>207364.18999999994</v>
      </c>
      <c r="C34" s="41"/>
      <c r="D34" s="40">
        <f>+Budget!C207-Budget!C204</f>
        <v>187360.93999999994</v>
      </c>
      <c r="E34" s="30"/>
      <c r="F34" s="121">
        <f t="shared" ref="F34:F48" si="2">+B34-D34</f>
        <v>20003.25</v>
      </c>
      <c r="G34" s="13" t="s">
        <v>507</v>
      </c>
      <c r="H34" s="40">
        <v>695850</v>
      </c>
    </row>
    <row r="35" spans="1:13" ht="15.4" x14ac:dyDescent="0.45">
      <c r="A35" s="14" t="s">
        <v>12</v>
      </c>
      <c r="B35" s="19">
        <f>+Budget!B204</f>
        <v>980525.54</v>
      </c>
      <c r="C35" s="20"/>
      <c r="D35" s="19">
        <f>+Budget!C204</f>
        <v>972638.06</v>
      </c>
      <c r="E35" s="20"/>
      <c r="F35" s="19">
        <f t="shared" si="2"/>
        <v>7887.4799999999814</v>
      </c>
      <c r="G35" s="48"/>
      <c r="H35" s="19">
        <v>1800000</v>
      </c>
    </row>
    <row r="36" spans="1:13" ht="15.4" x14ac:dyDescent="0.45">
      <c r="A36" s="25" t="s">
        <v>32</v>
      </c>
      <c r="B36" s="19">
        <f>+Budget!B212</f>
        <v>87088.11</v>
      </c>
      <c r="C36" s="20"/>
      <c r="D36" s="19">
        <f>+Budget!C212</f>
        <v>87223.41</v>
      </c>
      <c r="E36" s="20"/>
      <c r="F36" s="19">
        <f t="shared" si="2"/>
        <v>-135.30000000000291</v>
      </c>
      <c r="G36" s="13"/>
      <c r="H36" s="19">
        <v>345778</v>
      </c>
    </row>
    <row r="37" spans="1:13" ht="15.4" x14ac:dyDescent="0.45">
      <c r="A37" s="25" t="s">
        <v>33</v>
      </c>
      <c r="B37" s="19">
        <f>+Budget!B220</f>
        <v>33930.43</v>
      </c>
      <c r="C37" s="20"/>
      <c r="D37" s="19">
        <f>+Budget!C220</f>
        <v>33607.78</v>
      </c>
      <c r="E37" s="20"/>
      <c r="F37" s="19">
        <f t="shared" si="2"/>
        <v>322.65000000000146</v>
      </c>
      <c r="G37" s="49"/>
      <c r="H37" s="19">
        <v>92400</v>
      </c>
    </row>
    <row r="38" spans="1:13" ht="15.4" x14ac:dyDescent="0.45">
      <c r="A38" s="25" t="s">
        <v>34</v>
      </c>
      <c r="B38" s="19">
        <f>+Budget!B226</f>
        <v>10407.310000000001</v>
      </c>
      <c r="C38" s="20"/>
      <c r="D38" s="19">
        <f>+Budget!C226</f>
        <v>10407.77</v>
      </c>
      <c r="E38" s="20"/>
      <c r="F38" s="19">
        <f t="shared" si="2"/>
        <v>-0.45999999999912689</v>
      </c>
      <c r="G38" s="49"/>
      <c r="H38" s="19">
        <v>27500</v>
      </c>
      <c r="L38" s="26"/>
    </row>
    <row r="39" spans="1:13" ht="15.4" x14ac:dyDescent="0.45">
      <c r="A39" s="25" t="s">
        <v>35</v>
      </c>
      <c r="B39" s="19">
        <f>+Budget!B231</f>
        <v>665092.43999999994</v>
      </c>
      <c r="C39" s="20"/>
      <c r="D39" s="19">
        <f>+Budget!C231</f>
        <v>367161.62</v>
      </c>
      <c r="E39" s="20"/>
      <c r="F39" s="19">
        <f t="shared" si="2"/>
        <v>297930.81999999995</v>
      </c>
      <c r="G39" s="48" t="s">
        <v>482</v>
      </c>
      <c r="H39" s="19">
        <v>760500</v>
      </c>
    </row>
    <row r="40" spans="1:13" ht="15.4" x14ac:dyDescent="0.45">
      <c r="A40" s="25" t="s">
        <v>36</v>
      </c>
      <c r="B40" s="19">
        <f>+Budget!B232</f>
        <v>13805.22</v>
      </c>
      <c r="C40" s="20"/>
      <c r="D40" s="19">
        <f>+Budget!C232</f>
        <v>12238.19</v>
      </c>
      <c r="E40" s="20"/>
      <c r="F40" s="19">
        <f t="shared" si="2"/>
        <v>1567.0299999999988</v>
      </c>
      <c r="G40" s="49"/>
      <c r="H40" s="19">
        <v>45000</v>
      </c>
    </row>
    <row r="41" spans="1:13" ht="15.4" x14ac:dyDescent="0.45">
      <c r="A41" s="25" t="s">
        <v>37</v>
      </c>
      <c r="B41" s="19">
        <f>+Budget!B236</f>
        <v>12350.35</v>
      </c>
      <c r="C41" s="20"/>
      <c r="D41" s="19">
        <f>+Budget!C236</f>
        <v>10601.65</v>
      </c>
      <c r="E41" s="20"/>
      <c r="F41" s="19">
        <f t="shared" si="2"/>
        <v>1748.7000000000007</v>
      </c>
      <c r="G41" s="50"/>
      <c r="H41" s="19">
        <v>110000</v>
      </c>
      <c r="M41" s="26"/>
    </row>
    <row r="42" spans="1:13" ht="15.4" x14ac:dyDescent="0.45">
      <c r="A42" s="25" t="s">
        <v>38</v>
      </c>
      <c r="B42" s="19">
        <f>+Budget!B241</f>
        <v>3058.46</v>
      </c>
      <c r="C42" s="20"/>
      <c r="D42" s="19">
        <f>+Budget!C241</f>
        <v>3598.06</v>
      </c>
      <c r="E42" s="20"/>
      <c r="F42" s="19">
        <f t="shared" si="2"/>
        <v>-539.59999999999991</v>
      </c>
      <c r="G42" s="13"/>
      <c r="H42" s="19">
        <v>26000</v>
      </c>
    </row>
    <row r="43" spans="1:13" ht="15.4" x14ac:dyDescent="0.45">
      <c r="A43" s="25" t="s">
        <v>39</v>
      </c>
      <c r="B43" s="19">
        <f>+Budget!B250</f>
        <v>38073.42</v>
      </c>
      <c r="C43" s="20"/>
      <c r="D43" s="19">
        <f>+Budget!C250</f>
        <v>42610.9</v>
      </c>
      <c r="E43" s="20"/>
      <c r="F43" s="19">
        <f t="shared" si="2"/>
        <v>-4537.4800000000032</v>
      </c>
      <c r="G43" s="42" t="s">
        <v>508</v>
      </c>
      <c r="H43" s="19">
        <v>207500</v>
      </c>
    </row>
    <row r="44" spans="1:13" ht="15.4" x14ac:dyDescent="0.45">
      <c r="A44" s="25" t="s">
        <v>40</v>
      </c>
      <c r="B44" s="19">
        <f>+Budget!B261</f>
        <v>98299.540000000008</v>
      </c>
      <c r="C44" s="20"/>
      <c r="D44" s="19">
        <f>+Budget!C261</f>
        <v>113036.5</v>
      </c>
      <c r="E44" s="20"/>
      <c r="F44" s="19">
        <f t="shared" si="2"/>
        <v>-14736.959999999992</v>
      </c>
      <c r="G44" s="13" t="s">
        <v>480</v>
      </c>
      <c r="H44" s="19">
        <v>337500</v>
      </c>
    </row>
    <row r="45" spans="1:13" ht="15.4" x14ac:dyDescent="0.45">
      <c r="A45" s="25" t="s">
        <v>41</v>
      </c>
      <c r="B45" s="19">
        <f>+Budget!B266</f>
        <v>19009.330000000002</v>
      </c>
      <c r="C45" s="20"/>
      <c r="D45" s="19">
        <f>+Budget!C266</f>
        <v>31946.41</v>
      </c>
      <c r="E45" s="20"/>
      <c r="F45" s="19">
        <f t="shared" si="2"/>
        <v>-12937.079999999998</v>
      </c>
      <c r="G45" s="13" t="s">
        <v>481</v>
      </c>
      <c r="H45" s="19">
        <v>84000</v>
      </c>
    </row>
    <row r="46" spans="1:13" ht="15.75" thickBot="1" x14ac:dyDescent="0.5">
      <c r="A46" s="25" t="s">
        <v>42</v>
      </c>
      <c r="B46" s="51">
        <f>SUM(B34:B45)</f>
        <v>2169004.34</v>
      </c>
      <c r="C46" s="52"/>
      <c r="D46" s="51">
        <f>SUM(D34:D45)</f>
        <v>1872431.2899999998</v>
      </c>
      <c r="E46" s="52"/>
      <c r="F46" s="51">
        <f t="shared" si="2"/>
        <v>296573.05000000005</v>
      </c>
      <c r="G46" s="53" t="s">
        <v>509</v>
      </c>
      <c r="H46" s="54">
        <f>SUM(H34:H45)</f>
        <v>4532028</v>
      </c>
    </row>
    <row r="47" spans="1:13" ht="15.4" x14ac:dyDescent="0.45">
      <c r="A47" s="25" t="s">
        <v>43</v>
      </c>
      <c r="B47" s="40">
        <f>+B31+B46</f>
        <v>4396237.26</v>
      </c>
      <c r="C47" s="41"/>
      <c r="D47" s="40">
        <f>+D31+D46</f>
        <v>4106137.129999999</v>
      </c>
      <c r="E47" s="30"/>
      <c r="F47" s="121">
        <f t="shared" si="2"/>
        <v>290100.13000000082</v>
      </c>
      <c r="G47" s="53" t="s">
        <v>510</v>
      </c>
      <c r="H47" s="15">
        <f>+H31+H46</f>
        <v>11483455</v>
      </c>
    </row>
    <row r="48" spans="1:13" ht="15.4" x14ac:dyDescent="0.45">
      <c r="A48" s="25" t="s">
        <v>21</v>
      </c>
      <c r="B48" s="19">
        <f>-Budget!B204</f>
        <v>-980525.54</v>
      </c>
      <c r="C48" s="32"/>
      <c r="D48" s="19">
        <f>-Budget!C204</f>
        <v>-972638.06</v>
      </c>
      <c r="E48" s="30"/>
      <c r="F48" s="19">
        <f t="shared" si="2"/>
        <v>-7887.4799999999814</v>
      </c>
      <c r="G48" s="53"/>
      <c r="H48" s="15">
        <f>-H35</f>
        <v>-1800000</v>
      </c>
    </row>
    <row r="49" spans="1:12" ht="15.4" x14ac:dyDescent="0.45">
      <c r="A49" s="25" t="s">
        <v>44</v>
      </c>
      <c r="B49" s="55">
        <f>SUM(B47:B48)</f>
        <v>3415711.7199999997</v>
      </c>
      <c r="C49" s="41"/>
      <c r="D49" s="55">
        <f>SUM(D47:D48)</f>
        <v>3133499.0699999989</v>
      </c>
      <c r="E49" s="30"/>
      <c r="F49" s="56">
        <f>SUM(F47:F48)</f>
        <v>282212.65000000084</v>
      </c>
      <c r="G49" s="31" t="s">
        <v>511</v>
      </c>
      <c r="H49" s="33">
        <f>+H47+H48</f>
        <v>9683455</v>
      </c>
    </row>
    <row r="50" spans="1:12" ht="15.4" x14ac:dyDescent="0.45">
      <c r="A50" s="57"/>
      <c r="B50" s="58"/>
      <c r="C50" s="20"/>
      <c r="D50" s="58"/>
      <c r="E50" s="20"/>
      <c r="F50" s="58"/>
      <c r="G50" s="53"/>
      <c r="H50" s="58"/>
    </row>
    <row r="51" spans="1:12" ht="15.75" thickBot="1" x14ac:dyDescent="0.5">
      <c r="A51" s="59" t="s">
        <v>45</v>
      </c>
      <c r="B51" s="60">
        <f>+B22-B49</f>
        <v>-621525.34999999963</v>
      </c>
      <c r="C51" s="61" t="s">
        <v>5</v>
      </c>
      <c r="D51" s="60">
        <f>+D22-D49</f>
        <v>-282818.45999999857</v>
      </c>
      <c r="E51" s="61" t="s">
        <v>5</v>
      </c>
      <c r="F51" s="60">
        <f>+F22-F49</f>
        <v>-338706.89000000106</v>
      </c>
      <c r="G51" s="31" t="s">
        <v>497</v>
      </c>
      <c r="H51" s="62">
        <f>+H22-H49</f>
        <v>-647800</v>
      </c>
    </row>
    <row r="52" spans="1:12" ht="15.75" thickTop="1" x14ac:dyDescent="0.45">
      <c r="A52" s="57"/>
      <c r="B52" s="63"/>
      <c r="C52" s="64"/>
      <c r="D52" s="63"/>
      <c r="E52" s="64"/>
      <c r="F52" s="65"/>
      <c r="G52" s="31"/>
      <c r="H52" s="66"/>
    </row>
    <row r="53" spans="1:12" ht="15.75" x14ac:dyDescent="0.5">
      <c r="A53" s="25"/>
      <c r="B53" s="36"/>
      <c r="C53" s="67"/>
      <c r="D53" s="36"/>
      <c r="E53" s="68"/>
      <c r="F53" s="37"/>
      <c r="G53" s="69"/>
      <c r="H53" s="39"/>
    </row>
    <row r="54" spans="1:12" ht="15.4" x14ac:dyDescent="0.45">
      <c r="A54" s="123" t="s">
        <v>46</v>
      </c>
      <c r="B54" s="133" t="s">
        <v>2</v>
      </c>
      <c r="C54" s="71"/>
      <c r="D54" s="133" t="s">
        <v>3</v>
      </c>
      <c r="E54" s="71"/>
      <c r="F54" s="71"/>
      <c r="G54" s="70" t="s">
        <v>47</v>
      </c>
      <c r="H54" s="134" t="s">
        <v>2</v>
      </c>
    </row>
    <row r="55" spans="1:12" ht="15.4" x14ac:dyDescent="0.45">
      <c r="A55" s="124"/>
      <c r="B55" s="135" t="s">
        <v>512</v>
      </c>
      <c r="C55" s="72"/>
      <c r="D55" s="135" t="s">
        <v>512</v>
      </c>
      <c r="E55" s="73"/>
      <c r="F55" s="74" t="s">
        <v>5</v>
      </c>
      <c r="H55" s="135" t="s">
        <v>512</v>
      </c>
      <c r="J55" s="125"/>
    </row>
    <row r="56" spans="1:12" ht="15.4" x14ac:dyDescent="0.45">
      <c r="A56" s="75" t="s">
        <v>48</v>
      </c>
      <c r="B56" s="76">
        <f>+B51</f>
        <v>-621525.34999999963</v>
      </c>
      <c r="C56" s="77"/>
      <c r="D56" s="76">
        <f>+D51</f>
        <v>-282818.45999999857</v>
      </c>
      <c r="E56" s="77"/>
      <c r="F56" s="78"/>
      <c r="G56" s="79" t="s">
        <v>49</v>
      </c>
      <c r="H56" s="80">
        <f>+'Statement of Financial Position'!B11</f>
        <v>781668.96</v>
      </c>
      <c r="I56" s="26"/>
      <c r="L56" s="102"/>
    </row>
    <row r="57" spans="1:12" ht="15.4" x14ac:dyDescent="0.45">
      <c r="A57" s="75" t="s">
        <v>462</v>
      </c>
      <c r="B57" s="81">
        <f>10588950+84907-864</f>
        <v>10672993</v>
      </c>
      <c r="C57" s="77"/>
      <c r="D57" s="81">
        <f>+B57</f>
        <v>10672993</v>
      </c>
      <c r="E57" s="77"/>
      <c r="F57" s="79"/>
      <c r="G57" s="79" t="s">
        <v>50</v>
      </c>
      <c r="H57" s="82">
        <f>+'Statement of Financial Position'!B12</f>
        <v>52278</v>
      </c>
      <c r="L57" s="102"/>
    </row>
    <row r="58" spans="1:12" ht="15.75" thickBot="1" x14ac:dyDescent="0.5">
      <c r="A58" s="83" t="s">
        <v>513</v>
      </c>
      <c r="B58" s="84">
        <f>SUM(B56:B57)</f>
        <v>10051467.65</v>
      </c>
      <c r="C58" s="77"/>
      <c r="D58" s="84">
        <f>SUM(D56:D57)</f>
        <v>10390174.540000001</v>
      </c>
      <c r="E58" s="77" t="s">
        <v>5</v>
      </c>
      <c r="F58" s="79"/>
      <c r="G58" s="89" t="s">
        <v>441</v>
      </c>
      <c r="H58" s="85">
        <f>+'Statement of Financial Position'!B20</f>
        <v>266954.27</v>
      </c>
      <c r="L58" s="102"/>
    </row>
    <row r="59" spans="1:12" ht="15.75" thickTop="1" x14ac:dyDescent="0.45">
      <c r="A59" s="86" t="s">
        <v>521</v>
      </c>
      <c r="B59" s="87"/>
      <c r="C59" s="87"/>
      <c r="D59" s="87"/>
      <c r="E59" s="77"/>
      <c r="F59" s="88"/>
      <c r="G59" s="79" t="s">
        <v>515</v>
      </c>
      <c r="H59" s="85">
        <f>+'Statement of Financial Position'!B22</f>
        <v>0</v>
      </c>
      <c r="L59" s="102"/>
    </row>
    <row r="60" spans="1:12" ht="15.4" x14ac:dyDescent="0.45">
      <c r="A60" s="86" t="s">
        <v>519</v>
      </c>
      <c r="B60" s="87"/>
      <c r="C60" s="87"/>
      <c r="D60" s="87"/>
      <c r="E60" s="87"/>
      <c r="F60" s="88"/>
      <c r="G60" s="79" t="s">
        <v>51</v>
      </c>
      <c r="H60" s="85">
        <f>+'Statement of Financial Position'!B21</f>
        <v>14267.27</v>
      </c>
      <c r="L60" s="102"/>
    </row>
    <row r="61" spans="1:12" ht="15.4" x14ac:dyDescent="0.45">
      <c r="E61" s="87"/>
      <c r="F61" s="88"/>
      <c r="G61" s="79" t="s">
        <v>450</v>
      </c>
      <c r="H61" s="85">
        <f>+'Statement of Financial Position'!B33</f>
        <v>5179302.41</v>
      </c>
      <c r="L61" s="102"/>
    </row>
    <row r="62" spans="1:12" ht="15.4" x14ac:dyDescent="0.45">
      <c r="A62" s="86" t="s">
        <v>514</v>
      </c>
      <c r="B62" s="87"/>
      <c r="C62" s="87"/>
      <c r="D62" s="87"/>
      <c r="E62" s="87"/>
      <c r="F62" s="88"/>
      <c r="G62" s="79" t="s">
        <v>52</v>
      </c>
      <c r="H62" s="85">
        <f>+'Statement of Financial Position'!B29+'Statement of Financial Position'!B30+'Statement of Financial Position'!B24</f>
        <v>498639.29000000004</v>
      </c>
      <c r="L62" s="102"/>
    </row>
    <row r="63" spans="1:12" ht="15.4" x14ac:dyDescent="0.45">
      <c r="A63" s="86" t="s">
        <v>466</v>
      </c>
      <c r="B63" s="87"/>
      <c r="C63" s="87"/>
      <c r="D63" s="87"/>
      <c r="F63" s="78"/>
      <c r="G63" s="79" t="s">
        <v>55</v>
      </c>
      <c r="H63" s="85">
        <f>+'Statement of Financial Position'!B25</f>
        <v>0</v>
      </c>
      <c r="L63" s="102"/>
    </row>
    <row r="64" spans="1:12" ht="15.4" x14ac:dyDescent="0.45">
      <c r="A64" s="91" t="s">
        <v>444</v>
      </c>
      <c r="B64" s="92" t="s">
        <v>53</v>
      </c>
      <c r="C64" s="71"/>
      <c r="D64" s="152" t="s">
        <v>54</v>
      </c>
      <c r="E64" s="152"/>
      <c r="F64" s="78"/>
      <c r="G64" s="79" t="s">
        <v>57</v>
      </c>
      <c r="H64" s="85">
        <f>+'Statement of Financial Position'!B26+'Statement of Financial Position'!B27+'Statement of Financial Position'!B28</f>
        <v>3263925.6100000003</v>
      </c>
      <c r="L64" s="102"/>
    </row>
    <row r="65" spans="1:12" ht="15.4" x14ac:dyDescent="0.45">
      <c r="A65" s="93" t="s">
        <v>56</v>
      </c>
      <c r="B65" s="94">
        <f>+H62</f>
        <v>498639.29000000004</v>
      </c>
      <c r="C65" s="26"/>
      <c r="D65" s="95">
        <f>+H62-(812+1485+4798)</f>
        <v>491544.29000000004</v>
      </c>
      <c r="E65" s="128">
        <f>+D65/B65</f>
        <v>0.98577127767047801</v>
      </c>
      <c r="F65" s="78"/>
      <c r="G65" s="79" t="s">
        <v>458</v>
      </c>
      <c r="H65" s="132">
        <f>+'Statement of Financial Position'!B34</f>
        <v>229517.96</v>
      </c>
      <c r="I65" s="126"/>
      <c r="L65" s="102"/>
    </row>
    <row r="66" spans="1:12" ht="15.4" x14ac:dyDescent="0.45">
      <c r="A66" s="93" t="s">
        <v>58</v>
      </c>
      <c r="B66" s="97">
        <f>+H64</f>
        <v>3263925.6100000003</v>
      </c>
      <c r="C66" s="98"/>
      <c r="D66" s="99">
        <f>+H64-(8628+12337+4500)</f>
        <v>3238460.6100000003</v>
      </c>
      <c r="E66" s="128">
        <f t="shared" ref="E66:E67" si="3">+D66/B66</f>
        <v>0.99219804522444366</v>
      </c>
      <c r="F66" s="79"/>
      <c r="G66" s="100" t="s">
        <v>443</v>
      </c>
      <c r="H66" s="101">
        <f>SUM(H56:H65)</f>
        <v>10286553.770000001</v>
      </c>
      <c r="I66" s="102"/>
      <c r="L66" s="102"/>
    </row>
    <row r="67" spans="1:12" ht="15.4" x14ac:dyDescent="0.45">
      <c r="A67" s="93" t="s">
        <v>449</v>
      </c>
      <c r="B67" s="97">
        <f>+H61+H63</f>
        <v>5179302.41</v>
      </c>
      <c r="C67" s="98"/>
      <c r="D67" s="99">
        <f>+H61-828423</f>
        <v>4350879.41</v>
      </c>
      <c r="E67" s="128">
        <f t="shared" si="3"/>
        <v>0.84005123964174933</v>
      </c>
      <c r="F67" s="79"/>
      <c r="G67" s="89" t="s">
        <v>479</v>
      </c>
      <c r="H67" s="105">
        <v>-1517</v>
      </c>
      <c r="L67" s="102"/>
    </row>
    <row r="68" spans="1:12" ht="15.75" thickBot="1" x14ac:dyDescent="0.5">
      <c r="A68" s="103" t="s">
        <v>59</v>
      </c>
      <c r="B68" s="104">
        <f>SUM(B65:B67)</f>
        <v>8941867.3100000005</v>
      </c>
      <c r="D68" s="129">
        <f>SUM(D65:D67)</f>
        <v>8080884.3100000005</v>
      </c>
      <c r="E68" s="128">
        <f>+D68/B68</f>
        <v>0.90371328827065767</v>
      </c>
      <c r="F68" s="79"/>
      <c r="G68" s="89" t="s">
        <v>60</v>
      </c>
      <c r="H68" s="105">
        <f>-'Statement of Financial Position'!B99</f>
        <v>-281795.96000000002</v>
      </c>
      <c r="I68" s="126" t="s">
        <v>5</v>
      </c>
      <c r="L68" s="102"/>
    </row>
    <row r="69" spans="1:12" ht="16.149999999999999" thickTop="1" thickBot="1" x14ac:dyDescent="0.5">
      <c r="A69" s="124"/>
      <c r="C69" s="106"/>
      <c r="D69" s="107"/>
      <c r="E69" s="96"/>
      <c r="F69" s="79"/>
      <c r="G69" s="108" t="s">
        <v>442</v>
      </c>
      <c r="H69" s="109">
        <f>SUM(H66:H68)</f>
        <v>10003240.810000001</v>
      </c>
      <c r="L69" s="102"/>
    </row>
    <row r="70" spans="1:12" ht="15.75" thickTop="1" x14ac:dyDescent="0.45">
      <c r="A70" s="124"/>
      <c r="F70" s="79"/>
      <c r="H70" s="119"/>
      <c r="L70" s="102"/>
    </row>
    <row r="71" spans="1:12" ht="15.4" x14ac:dyDescent="0.45">
      <c r="A71" s="124"/>
      <c r="B71" s="110"/>
      <c r="D71" s="94"/>
      <c r="E71" s="90"/>
      <c r="F71" s="78"/>
      <c r="H71" s="130"/>
      <c r="I71" s="102"/>
    </row>
    <row r="72" spans="1:12" ht="15.4" x14ac:dyDescent="0.45">
      <c r="A72" s="111"/>
      <c r="B72" s="112"/>
      <c r="C72" s="113"/>
      <c r="D72" s="113"/>
      <c r="E72" s="114"/>
      <c r="F72" s="115"/>
      <c r="G72" s="131" t="s">
        <v>516</v>
      </c>
      <c r="H72" s="116"/>
    </row>
    <row r="74" spans="1:12" ht="15.4" x14ac:dyDescent="0.45">
      <c r="A74" s="12"/>
      <c r="B74" s="12"/>
      <c r="C74" s="12"/>
      <c r="D74" s="12"/>
      <c r="E74" s="12"/>
      <c r="F74" s="117"/>
      <c r="G74" s="118"/>
      <c r="H74" s="12"/>
    </row>
  </sheetData>
  <mergeCells count="3">
    <mergeCell ref="A1:H1"/>
    <mergeCell ref="A2:H2"/>
    <mergeCell ref="D64:E64"/>
  </mergeCells>
  <pageMargins left="0.25" right="0.25" top="0.75" bottom="0.75" header="0.3" footer="0.3"/>
  <pageSetup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AE005-760D-4801-B69B-7E5666071A65}">
  <sheetPr>
    <pageSetUpPr fitToPage="1"/>
  </sheetPr>
  <dimension ref="A1:F259"/>
  <sheetViews>
    <sheetView workbookViewId="0">
      <selection sqref="A1:XFD1048576"/>
    </sheetView>
  </sheetViews>
  <sheetFormatPr defaultColWidth="9.1328125" defaultRowHeight="14.25" x14ac:dyDescent="0.45"/>
  <cols>
    <col min="1" max="1" width="53.86328125" style="142" customWidth="1"/>
    <col min="2" max="6" width="12" style="142" customWidth="1"/>
    <col min="7" max="16384" width="9.1328125" style="142"/>
  </cols>
  <sheetData>
    <row r="1" spans="1:6" ht="17.649999999999999" x14ac:dyDescent="0.5">
      <c r="A1" s="155" t="s">
        <v>61</v>
      </c>
      <c r="B1" s="154"/>
      <c r="C1" s="154"/>
      <c r="D1" s="154"/>
      <c r="E1" s="154"/>
      <c r="F1" s="154"/>
    </row>
    <row r="2" spans="1:6" ht="17.649999999999999" x14ac:dyDescent="0.5">
      <c r="A2" s="155" t="s">
        <v>465</v>
      </c>
      <c r="B2" s="154"/>
      <c r="C2" s="154"/>
      <c r="D2" s="154"/>
      <c r="E2" s="154"/>
      <c r="F2" s="154"/>
    </row>
    <row r="3" spans="1:6" x14ac:dyDescent="0.45">
      <c r="A3" s="156" t="s">
        <v>483</v>
      </c>
      <c r="B3" s="154"/>
      <c r="C3" s="154"/>
      <c r="D3" s="154"/>
      <c r="E3" s="154"/>
      <c r="F3" s="154"/>
    </row>
    <row r="5" spans="1:6" x14ac:dyDescent="0.45">
      <c r="A5" s="143"/>
      <c r="B5" s="144" t="s">
        <v>463</v>
      </c>
      <c r="C5" s="144" t="s">
        <v>468</v>
      </c>
      <c r="D5" s="144" t="s">
        <v>478</v>
      </c>
      <c r="E5" s="144" t="s">
        <v>495</v>
      </c>
      <c r="F5" s="144" t="s">
        <v>62</v>
      </c>
    </row>
    <row r="6" spans="1:6" x14ac:dyDescent="0.45">
      <c r="A6" s="136" t="s">
        <v>63</v>
      </c>
      <c r="B6" s="137"/>
      <c r="C6" s="137"/>
      <c r="D6" s="137"/>
      <c r="E6" s="137"/>
      <c r="F6" s="137"/>
    </row>
    <row r="7" spans="1:6" x14ac:dyDescent="0.45">
      <c r="A7" s="136" t="s">
        <v>64</v>
      </c>
      <c r="B7" s="137"/>
      <c r="C7" s="137"/>
      <c r="D7" s="137"/>
      <c r="E7" s="137"/>
      <c r="F7" s="138">
        <f t="shared" ref="F7:F48" si="0">(((B7)+(C7))+(D7))+(E7)</f>
        <v>0</v>
      </c>
    </row>
    <row r="8" spans="1:6" x14ac:dyDescent="0.45">
      <c r="A8" s="136" t="s">
        <v>65</v>
      </c>
      <c r="B8" s="137"/>
      <c r="C8" s="137"/>
      <c r="D8" s="137"/>
      <c r="E8" s="137"/>
      <c r="F8" s="138">
        <f t="shared" si="0"/>
        <v>0</v>
      </c>
    </row>
    <row r="9" spans="1:6" x14ac:dyDescent="0.45">
      <c r="A9" s="136" t="s">
        <v>66</v>
      </c>
      <c r="B9" s="138">
        <f>33335</f>
        <v>33335</v>
      </c>
      <c r="C9" s="138">
        <f>83951.13</f>
        <v>83951.13</v>
      </c>
      <c r="D9" s="138">
        <f>134305</f>
        <v>134305</v>
      </c>
      <c r="E9" s="138">
        <f>11672</f>
        <v>11672</v>
      </c>
      <c r="F9" s="138">
        <f t="shared" si="0"/>
        <v>263263.13</v>
      </c>
    </row>
    <row r="10" spans="1:6" x14ac:dyDescent="0.45">
      <c r="A10" s="136" t="s">
        <v>68</v>
      </c>
      <c r="B10" s="139">
        <f>(B8)+(B9)</f>
        <v>33335</v>
      </c>
      <c r="C10" s="139">
        <f>(C8)+(C9)</f>
        <v>83951.13</v>
      </c>
      <c r="D10" s="139">
        <f>(D8)+(D9)</f>
        <v>134305</v>
      </c>
      <c r="E10" s="139">
        <f>(E8)+(E9)</f>
        <v>11672</v>
      </c>
      <c r="F10" s="139">
        <f t="shared" si="0"/>
        <v>263263.13</v>
      </c>
    </row>
    <row r="11" spans="1:6" x14ac:dyDescent="0.45">
      <c r="A11" s="136" t="s">
        <v>70</v>
      </c>
      <c r="B11" s="138">
        <f>250</f>
        <v>250</v>
      </c>
      <c r="C11" s="138">
        <f>15000</f>
        <v>15000</v>
      </c>
      <c r="D11" s="138">
        <f>150000</f>
        <v>150000</v>
      </c>
      <c r="E11" s="138">
        <f>83000</f>
        <v>83000</v>
      </c>
      <c r="F11" s="138">
        <f t="shared" si="0"/>
        <v>248250</v>
      </c>
    </row>
    <row r="12" spans="1:6" x14ac:dyDescent="0.45">
      <c r="A12" s="136" t="s">
        <v>484</v>
      </c>
      <c r="B12" s="137"/>
      <c r="C12" s="137"/>
      <c r="D12" s="137"/>
      <c r="E12" s="138">
        <f>10000</f>
        <v>10000</v>
      </c>
      <c r="F12" s="138">
        <f t="shared" si="0"/>
        <v>10000</v>
      </c>
    </row>
    <row r="13" spans="1:6" x14ac:dyDescent="0.45">
      <c r="A13" s="136" t="s">
        <v>71</v>
      </c>
      <c r="B13" s="138">
        <f>89008</f>
        <v>89008</v>
      </c>
      <c r="C13" s="137"/>
      <c r="D13" s="137"/>
      <c r="E13" s="137"/>
      <c r="F13" s="138">
        <f t="shared" si="0"/>
        <v>89008</v>
      </c>
    </row>
    <row r="14" spans="1:6" x14ac:dyDescent="0.45">
      <c r="A14" s="136" t="s">
        <v>72</v>
      </c>
      <c r="B14" s="138">
        <f>440</f>
        <v>440</v>
      </c>
      <c r="C14" s="138">
        <f>2900</f>
        <v>2900</v>
      </c>
      <c r="D14" s="138">
        <f>3146</f>
        <v>3146</v>
      </c>
      <c r="E14" s="138">
        <f>7644</f>
        <v>7644</v>
      </c>
      <c r="F14" s="138">
        <f t="shared" si="0"/>
        <v>14130</v>
      </c>
    </row>
    <row r="15" spans="1:6" x14ac:dyDescent="0.45">
      <c r="A15" s="136" t="s">
        <v>73</v>
      </c>
      <c r="B15" s="137"/>
      <c r="C15" s="137"/>
      <c r="D15" s="137"/>
      <c r="E15" s="137"/>
      <c r="F15" s="138">
        <f t="shared" si="0"/>
        <v>0</v>
      </c>
    </row>
    <row r="16" spans="1:6" x14ac:dyDescent="0.45">
      <c r="A16" s="136" t="s">
        <v>74</v>
      </c>
      <c r="B16" s="138">
        <f>4374.17</f>
        <v>4374.17</v>
      </c>
      <c r="C16" s="138">
        <f>2500</f>
        <v>2500</v>
      </c>
      <c r="D16" s="138">
        <f>3750</f>
        <v>3750</v>
      </c>
      <c r="E16" s="138">
        <f>6887.25</f>
        <v>6887.25</v>
      </c>
      <c r="F16" s="138">
        <f t="shared" si="0"/>
        <v>17511.419999999998</v>
      </c>
    </row>
    <row r="17" spans="1:6" x14ac:dyDescent="0.45">
      <c r="A17" s="136" t="s">
        <v>75</v>
      </c>
      <c r="B17" s="137"/>
      <c r="C17" s="137"/>
      <c r="D17" s="137"/>
      <c r="E17" s="138">
        <f>2965.46</f>
        <v>2965.46</v>
      </c>
      <c r="F17" s="138">
        <f t="shared" si="0"/>
        <v>2965.46</v>
      </c>
    </row>
    <row r="18" spans="1:6" x14ac:dyDescent="0.45">
      <c r="A18" s="136" t="s">
        <v>76</v>
      </c>
      <c r="B18" s="139">
        <f>((B15)+(B16))+(B17)</f>
        <v>4374.17</v>
      </c>
      <c r="C18" s="139">
        <f>((C15)+(C16))+(C17)</f>
        <v>2500</v>
      </c>
      <c r="D18" s="139">
        <f>((D15)+(D16))+(D17)</f>
        <v>3750</v>
      </c>
      <c r="E18" s="139">
        <f>((E15)+(E16))+(E17)</f>
        <v>9852.7099999999991</v>
      </c>
      <c r="F18" s="139">
        <f t="shared" si="0"/>
        <v>20476.879999999997</v>
      </c>
    </row>
    <row r="19" spans="1:6" x14ac:dyDescent="0.45">
      <c r="A19" s="136" t="s">
        <v>77</v>
      </c>
      <c r="B19" s="137"/>
      <c r="C19" s="137"/>
      <c r="D19" s="137"/>
      <c r="E19" s="137"/>
      <c r="F19" s="138">
        <f t="shared" si="0"/>
        <v>0</v>
      </c>
    </row>
    <row r="20" spans="1:6" x14ac:dyDescent="0.45">
      <c r="A20" s="136" t="s">
        <v>477</v>
      </c>
      <c r="B20" s="137"/>
      <c r="C20" s="137"/>
      <c r="D20" s="137"/>
      <c r="E20" s="138">
        <f>68717.37</f>
        <v>68717.37</v>
      </c>
      <c r="F20" s="138">
        <f t="shared" si="0"/>
        <v>68717.37</v>
      </c>
    </row>
    <row r="21" spans="1:6" x14ac:dyDescent="0.45">
      <c r="A21" s="136" t="s">
        <v>78</v>
      </c>
      <c r="B21" s="138">
        <f>362675.06</f>
        <v>362675.06</v>
      </c>
      <c r="C21" s="138">
        <f>244733.75</f>
        <v>244733.75</v>
      </c>
      <c r="D21" s="138">
        <f>205108.9</f>
        <v>205108.9</v>
      </c>
      <c r="E21" s="138">
        <f>168007.83</f>
        <v>168007.83</v>
      </c>
      <c r="F21" s="138">
        <f t="shared" si="0"/>
        <v>980525.54</v>
      </c>
    </row>
    <row r="22" spans="1:6" x14ac:dyDescent="0.45">
      <c r="A22" s="136" t="s">
        <v>299</v>
      </c>
      <c r="B22" s="138">
        <f>500000</f>
        <v>500000</v>
      </c>
      <c r="C22" s="137"/>
      <c r="D22" s="138">
        <f>10000</f>
        <v>10000</v>
      </c>
      <c r="E22" s="138">
        <f>325000</f>
        <v>325000</v>
      </c>
      <c r="F22" s="138">
        <f t="shared" si="0"/>
        <v>835000</v>
      </c>
    </row>
    <row r="23" spans="1:6" x14ac:dyDescent="0.45">
      <c r="A23" s="136" t="s">
        <v>79</v>
      </c>
      <c r="B23" s="138">
        <f>71981.97</f>
        <v>71981.97</v>
      </c>
      <c r="C23" s="138">
        <f>331756.71</f>
        <v>331756.71000000002</v>
      </c>
      <c r="D23" s="138">
        <f>171858.88</f>
        <v>171858.88</v>
      </c>
      <c r="E23" s="138">
        <f>232905.73</f>
        <v>232905.73</v>
      </c>
      <c r="F23" s="138">
        <f t="shared" si="0"/>
        <v>808503.29</v>
      </c>
    </row>
    <row r="24" spans="1:6" x14ac:dyDescent="0.45">
      <c r="A24" s="136" t="s">
        <v>80</v>
      </c>
      <c r="B24" s="139">
        <f>((((B19)+(B20))+(B21))+(B22))+(B23)</f>
        <v>934657.03</v>
      </c>
      <c r="C24" s="139">
        <f>((((C19)+(C20))+(C21))+(C22))+(C23)</f>
        <v>576490.46</v>
      </c>
      <c r="D24" s="139">
        <f>((((D19)+(D20))+(D21))+(D22))+(D23)</f>
        <v>386967.78</v>
      </c>
      <c r="E24" s="139">
        <f>((((E19)+(E20))+(E21))+(E22))+(E23)</f>
        <v>794630.92999999993</v>
      </c>
      <c r="F24" s="139">
        <f t="shared" si="0"/>
        <v>2692746.2</v>
      </c>
    </row>
    <row r="25" spans="1:6" x14ac:dyDescent="0.45">
      <c r="A25" s="136" t="s">
        <v>81</v>
      </c>
      <c r="B25" s="139">
        <f>(((((((B7)+(B10))+(B11))+(B12))+(B13))+(B14))+(B18))+(B24)</f>
        <v>1062064.2</v>
      </c>
      <c r="C25" s="139">
        <f>(((((((C7)+(C10))+(C11))+(C12))+(C13))+(C14))+(C18))+(C24)</f>
        <v>680841.59</v>
      </c>
      <c r="D25" s="139">
        <f>(((((((D7)+(D10))+(D11))+(D12))+(D13))+(D14))+(D18))+(D24)</f>
        <v>678168.78</v>
      </c>
      <c r="E25" s="139">
        <f>(((((((E7)+(E10))+(E11))+(E12))+(E13))+(E14))+(E18))+(E24)</f>
        <v>916799.6399999999</v>
      </c>
      <c r="F25" s="139">
        <f t="shared" si="0"/>
        <v>3337874.21</v>
      </c>
    </row>
    <row r="26" spans="1:6" x14ac:dyDescent="0.45">
      <c r="A26" s="136" t="s">
        <v>82</v>
      </c>
      <c r="B26" s="137"/>
      <c r="C26" s="137"/>
      <c r="D26" s="137"/>
      <c r="E26" s="137"/>
      <c r="F26" s="138">
        <f t="shared" si="0"/>
        <v>0</v>
      </c>
    </row>
    <row r="27" spans="1:6" x14ac:dyDescent="0.45">
      <c r="A27" s="136" t="s">
        <v>83</v>
      </c>
      <c r="B27" s="137"/>
      <c r="C27" s="137"/>
      <c r="D27" s="137"/>
      <c r="E27" s="137"/>
      <c r="F27" s="138">
        <f t="shared" si="0"/>
        <v>0</v>
      </c>
    </row>
    <row r="28" spans="1:6" x14ac:dyDescent="0.45">
      <c r="A28" s="136" t="s">
        <v>84</v>
      </c>
      <c r="B28" s="137"/>
      <c r="C28" s="137"/>
      <c r="D28" s="137"/>
      <c r="E28" s="138">
        <f>3530</f>
        <v>3530</v>
      </c>
      <c r="F28" s="138">
        <f t="shared" si="0"/>
        <v>3530</v>
      </c>
    </row>
    <row r="29" spans="1:6" x14ac:dyDescent="0.45">
      <c r="A29" s="136" t="s">
        <v>87</v>
      </c>
      <c r="B29" s="137"/>
      <c r="C29" s="138">
        <f>1040</f>
        <v>1040</v>
      </c>
      <c r="D29" s="137"/>
      <c r="E29" s="138">
        <f>195</f>
        <v>195</v>
      </c>
      <c r="F29" s="138">
        <f t="shared" si="0"/>
        <v>1235</v>
      </c>
    </row>
    <row r="30" spans="1:6" x14ac:dyDescent="0.45">
      <c r="A30" s="136" t="s">
        <v>469</v>
      </c>
      <c r="B30" s="137"/>
      <c r="C30" s="137"/>
      <c r="D30" s="138">
        <f>660</f>
        <v>660</v>
      </c>
      <c r="E30" s="138">
        <f>375</f>
        <v>375</v>
      </c>
      <c r="F30" s="138">
        <f t="shared" si="0"/>
        <v>1035</v>
      </c>
    </row>
    <row r="31" spans="1:6" x14ac:dyDescent="0.45">
      <c r="A31" s="136" t="s">
        <v>467</v>
      </c>
      <c r="B31" s="137"/>
      <c r="C31" s="138">
        <f>1345</f>
        <v>1345</v>
      </c>
      <c r="D31" s="137"/>
      <c r="E31" s="138">
        <f>765</f>
        <v>765</v>
      </c>
      <c r="F31" s="138">
        <f t="shared" si="0"/>
        <v>2110</v>
      </c>
    </row>
    <row r="32" spans="1:6" x14ac:dyDescent="0.45">
      <c r="A32" s="136" t="s">
        <v>88</v>
      </c>
      <c r="B32" s="139">
        <f>((((B27)+(B28))+(B29))+(B30))+(B31)</f>
        <v>0</v>
      </c>
      <c r="C32" s="139">
        <f>((((C27)+(C28))+(C29))+(C30))+(C31)</f>
        <v>2385</v>
      </c>
      <c r="D32" s="139">
        <f>((((D27)+(D28))+(D29))+(D30))+(D31)</f>
        <v>660</v>
      </c>
      <c r="E32" s="139">
        <f>((((E27)+(E28))+(E29))+(E30))+(E31)</f>
        <v>4865</v>
      </c>
      <c r="F32" s="139">
        <f t="shared" si="0"/>
        <v>7910</v>
      </c>
    </row>
    <row r="33" spans="1:6" x14ac:dyDescent="0.45">
      <c r="A33" s="136" t="s">
        <v>89</v>
      </c>
      <c r="B33" s="137"/>
      <c r="C33" s="137"/>
      <c r="D33" s="137"/>
      <c r="E33" s="137"/>
      <c r="F33" s="138">
        <f t="shared" si="0"/>
        <v>0</v>
      </c>
    </row>
    <row r="34" spans="1:6" x14ac:dyDescent="0.45">
      <c r="A34" s="136" t="s">
        <v>90</v>
      </c>
      <c r="B34" s="137"/>
      <c r="C34" s="137"/>
      <c r="D34" s="137"/>
      <c r="E34" s="137"/>
      <c r="F34" s="138">
        <f t="shared" si="0"/>
        <v>0</v>
      </c>
    </row>
    <row r="35" spans="1:6" x14ac:dyDescent="0.45">
      <c r="A35" s="136" t="s">
        <v>91</v>
      </c>
      <c r="B35" s="137"/>
      <c r="C35" s="137"/>
      <c r="D35" s="138">
        <f>52370.58</f>
        <v>52370.58</v>
      </c>
      <c r="E35" s="138">
        <f>88255.08</f>
        <v>88255.08</v>
      </c>
      <c r="F35" s="138">
        <f t="shared" si="0"/>
        <v>140625.66</v>
      </c>
    </row>
    <row r="36" spans="1:6" x14ac:dyDescent="0.45">
      <c r="A36" s="136" t="s">
        <v>92</v>
      </c>
      <c r="B36" s="137"/>
      <c r="C36" s="137"/>
      <c r="D36" s="137"/>
      <c r="E36" s="138">
        <f>10750</f>
        <v>10750</v>
      </c>
      <c r="F36" s="138">
        <f t="shared" si="0"/>
        <v>10750</v>
      </c>
    </row>
    <row r="37" spans="1:6" x14ac:dyDescent="0.45">
      <c r="A37" s="136" t="s">
        <v>93</v>
      </c>
      <c r="B37" s="137"/>
      <c r="C37" s="137"/>
      <c r="D37" s="138">
        <f>8500</f>
        <v>8500</v>
      </c>
      <c r="E37" s="138">
        <f>33770</f>
        <v>33770</v>
      </c>
      <c r="F37" s="138">
        <f t="shared" si="0"/>
        <v>42270</v>
      </c>
    </row>
    <row r="38" spans="1:6" x14ac:dyDescent="0.45">
      <c r="A38" s="136" t="s">
        <v>95</v>
      </c>
      <c r="B38" s="139">
        <f>(((B34)+(B35))+(B36))+(B37)</f>
        <v>0</v>
      </c>
      <c r="C38" s="139">
        <f>(((C34)+(C35))+(C36))+(C37)</f>
        <v>0</v>
      </c>
      <c r="D38" s="139">
        <f>(((D34)+(D35))+(D36))+(D37)</f>
        <v>60870.58</v>
      </c>
      <c r="E38" s="139">
        <f>(((E34)+(E35))+(E36))+(E37)</f>
        <v>132775.08000000002</v>
      </c>
      <c r="F38" s="139">
        <f t="shared" si="0"/>
        <v>193645.66000000003</v>
      </c>
    </row>
    <row r="39" spans="1:6" x14ac:dyDescent="0.45">
      <c r="A39" s="136" t="s">
        <v>96</v>
      </c>
      <c r="B39" s="139">
        <f>(B33)+(B38)</f>
        <v>0</v>
      </c>
      <c r="C39" s="139">
        <f>(C33)+(C38)</f>
        <v>0</v>
      </c>
      <c r="D39" s="139">
        <f>(D33)+(D38)</f>
        <v>60870.58</v>
      </c>
      <c r="E39" s="139">
        <f>(E33)+(E38)</f>
        <v>132775.08000000002</v>
      </c>
      <c r="F39" s="139">
        <f t="shared" si="0"/>
        <v>193645.66000000003</v>
      </c>
    </row>
    <row r="40" spans="1:6" x14ac:dyDescent="0.45">
      <c r="A40" s="136" t="s">
        <v>97</v>
      </c>
      <c r="B40" s="137"/>
      <c r="C40" s="137"/>
      <c r="D40" s="137"/>
      <c r="E40" s="137"/>
      <c r="F40" s="138">
        <f t="shared" si="0"/>
        <v>0</v>
      </c>
    </row>
    <row r="41" spans="1:6" x14ac:dyDescent="0.45">
      <c r="A41" s="136" t="s">
        <v>98</v>
      </c>
      <c r="B41" s="138">
        <f>98</f>
        <v>98</v>
      </c>
      <c r="C41" s="137"/>
      <c r="D41" s="138">
        <f>80</f>
        <v>80</v>
      </c>
      <c r="E41" s="138">
        <f>229</f>
        <v>229</v>
      </c>
      <c r="F41" s="138">
        <f t="shared" si="0"/>
        <v>407</v>
      </c>
    </row>
    <row r="42" spans="1:6" x14ac:dyDescent="0.45">
      <c r="A42" s="136" t="s">
        <v>99</v>
      </c>
      <c r="B42" s="139">
        <f>(B40)+(B41)</f>
        <v>98</v>
      </c>
      <c r="C42" s="139">
        <f>(C40)+(C41)</f>
        <v>0</v>
      </c>
      <c r="D42" s="139">
        <f>(D40)+(D41)</f>
        <v>80</v>
      </c>
      <c r="E42" s="139">
        <f>(E40)+(E41)</f>
        <v>229</v>
      </c>
      <c r="F42" s="139">
        <f t="shared" si="0"/>
        <v>407</v>
      </c>
    </row>
    <row r="43" spans="1:6" x14ac:dyDescent="0.45">
      <c r="A43" s="136" t="s">
        <v>100</v>
      </c>
      <c r="B43" s="139">
        <f>(((B26)+(B32))+(B39))+(B42)</f>
        <v>98</v>
      </c>
      <c r="C43" s="139">
        <f>(((C26)+(C32))+(C39))+(C42)</f>
        <v>2385</v>
      </c>
      <c r="D43" s="139">
        <f>(((D26)+(D32))+(D39))+(D42)</f>
        <v>61610.58</v>
      </c>
      <c r="E43" s="139">
        <f>(((E26)+(E32))+(E39))+(E42)</f>
        <v>137869.08000000002</v>
      </c>
      <c r="F43" s="139">
        <f t="shared" si="0"/>
        <v>201962.66000000003</v>
      </c>
    </row>
    <row r="44" spans="1:6" x14ac:dyDescent="0.45">
      <c r="A44" s="136" t="s">
        <v>101</v>
      </c>
      <c r="B44" s="137"/>
      <c r="C44" s="137"/>
      <c r="D44" s="137"/>
      <c r="E44" s="137"/>
      <c r="F44" s="138">
        <f t="shared" si="0"/>
        <v>0</v>
      </c>
    </row>
    <row r="45" spans="1:6" x14ac:dyDescent="0.45">
      <c r="A45" s="136" t="s">
        <v>102</v>
      </c>
      <c r="B45" s="138">
        <f>1326.3</f>
        <v>1326.3</v>
      </c>
      <c r="C45" s="138">
        <f>615</f>
        <v>615</v>
      </c>
      <c r="D45" s="138">
        <f>801.75</f>
        <v>801.75</v>
      </c>
      <c r="E45" s="138">
        <f>2679.58</f>
        <v>2679.58</v>
      </c>
      <c r="F45" s="138">
        <f t="shared" si="0"/>
        <v>5422.63</v>
      </c>
    </row>
    <row r="46" spans="1:6" x14ac:dyDescent="0.45">
      <c r="A46" s="136" t="s">
        <v>103</v>
      </c>
      <c r="B46" s="139">
        <f>(B44)+(B45)</f>
        <v>1326.3</v>
      </c>
      <c r="C46" s="139">
        <f>(C44)+(C45)</f>
        <v>615</v>
      </c>
      <c r="D46" s="139">
        <f>(D44)+(D45)</f>
        <v>801.75</v>
      </c>
      <c r="E46" s="139">
        <f>(E44)+(E45)</f>
        <v>2679.58</v>
      </c>
      <c r="F46" s="139">
        <f t="shared" si="0"/>
        <v>5422.63</v>
      </c>
    </row>
    <row r="47" spans="1:6" x14ac:dyDescent="0.45">
      <c r="A47" s="136" t="s">
        <v>20</v>
      </c>
      <c r="B47" s="139">
        <f>((B25)+(B43))+(B46)</f>
        <v>1063488.5</v>
      </c>
      <c r="C47" s="139">
        <f>((C25)+(C43))+(C46)</f>
        <v>683841.59</v>
      </c>
      <c r="D47" s="139">
        <f>((D25)+(D43))+(D46)</f>
        <v>740581.11</v>
      </c>
      <c r="E47" s="139">
        <f>((E25)+(E43))+(E46)</f>
        <v>1057348.3</v>
      </c>
      <c r="F47" s="139">
        <f t="shared" si="0"/>
        <v>3545259.5</v>
      </c>
    </row>
    <row r="48" spans="1:6" x14ac:dyDescent="0.45">
      <c r="A48" s="136" t="s">
        <v>104</v>
      </c>
      <c r="B48" s="139">
        <f>(B47)-(0)</f>
        <v>1063488.5</v>
      </c>
      <c r="C48" s="139">
        <f>(C47)-(0)</f>
        <v>683841.59</v>
      </c>
      <c r="D48" s="139">
        <f>(D47)-(0)</f>
        <v>740581.11</v>
      </c>
      <c r="E48" s="139">
        <f>(E47)-(0)</f>
        <v>1057348.3</v>
      </c>
      <c r="F48" s="139">
        <f t="shared" si="0"/>
        <v>3545259.5</v>
      </c>
    </row>
    <row r="49" spans="1:6" x14ac:dyDescent="0.45">
      <c r="A49" s="136" t="s">
        <v>105</v>
      </c>
      <c r="B49" s="137"/>
      <c r="C49" s="137"/>
      <c r="D49" s="137"/>
      <c r="E49" s="137"/>
      <c r="F49" s="137"/>
    </row>
    <row r="50" spans="1:6" x14ac:dyDescent="0.45">
      <c r="A50" s="136" t="s">
        <v>106</v>
      </c>
      <c r="B50" s="137"/>
      <c r="C50" s="137"/>
      <c r="D50" s="137"/>
      <c r="E50" s="137"/>
      <c r="F50" s="138">
        <f t="shared" ref="F50:F113" si="1">(((B50)+(C50))+(D50))+(E50)</f>
        <v>0</v>
      </c>
    </row>
    <row r="51" spans="1:6" x14ac:dyDescent="0.45">
      <c r="A51" s="136" t="s">
        <v>107</v>
      </c>
      <c r="B51" s="137"/>
      <c r="C51" s="137"/>
      <c r="D51" s="137"/>
      <c r="E51" s="137"/>
      <c r="F51" s="138">
        <f t="shared" si="1"/>
        <v>0</v>
      </c>
    </row>
    <row r="52" spans="1:6" x14ac:dyDescent="0.45">
      <c r="A52" s="136" t="s">
        <v>108</v>
      </c>
      <c r="B52" s="138">
        <f>26041.67</f>
        <v>26041.67</v>
      </c>
      <c r="C52" s="138">
        <f>27083.34</f>
        <v>27083.34</v>
      </c>
      <c r="D52" s="138">
        <f>27083.34</f>
        <v>27083.34</v>
      </c>
      <c r="E52" s="138">
        <f>27083.34</f>
        <v>27083.34</v>
      </c>
      <c r="F52" s="138">
        <f t="shared" si="1"/>
        <v>107291.68999999999</v>
      </c>
    </row>
    <row r="53" spans="1:6" x14ac:dyDescent="0.45">
      <c r="A53" s="136" t="s">
        <v>109</v>
      </c>
      <c r="B53" s="138">
        <f>28922.74</f>
        <v>28922.74</v>
      </c>
      <c r="C53" s="138">
        <f>28708.24</f>
        <v>28708.240000000002</v>
      </c>
      <c r="D53" s="138">
        <f>28708.24</f>
        <v>28708.240000000002</v>
      </c>
      <c r="E53" s="138">
        <f>28708.24</f>
        <v>28708.240000000002</v>
      </c>
      <c r="F53" s="138">
        <f t="shared" si="1"/>
        <v>115047.46</v>
      </c>
    </row>
    <row r="54" spans="1:6" x14ac:dyDescent="0.45">
      <c r="A54" s="136" t="s">
        <v>110</v>
      </c>
      <c r="B54" s="138">
        <f>9895.83</f>
        <v>9895.83</v>
      </c>
      <c r="C54" s="138">
        <f>12500</f>
        <v>12500</v>
      </c>
      <c r="D54" s="138">
        <f>12500</f>
        <v>12500</v>
      </c>
      <c r="E54" s="138">
        <f>12500</f>
        <v>12500</v>
      </c>
      <c r="F54" s="138">
        <f t="shared" si="1"/>
        <v>47395.83</v>
      </c>
    </row>
    <row r="55" spans="1:6" x14ac:dyDescent="0.45">
      <c r="A55" s="136" t="s">
        <v>111</v>
      </c>
      <c r="B55" s="138">
        <f>9703.16</f>
        <v>9703.16</v>
      </c>
      <c r="C55" s="138">
        <f>9703.16</f>
        <v>9703.16</v>
      </c>
      <c r="D55" s="138">
        <f>9703.16</f>
        <v>9703.16</v>
      </c>
      <c r="E55" s="138">
        <f>9703.16</f>
        <v>9703.16</v>
      </c>
      <c r="F55" s="138">
        <f t="shared" si="1"/>
        <v>38812.639999999999</v>
      </c>
    </row>
    <row r="56" spans="1:6" x14ac:dyDescent="0.45">
      <c r="A56" s="136" t="s">
        <v>112</v>
      </c>
      <c r="B56" s="138">
        <f>6907.03</f>
        <v>6907.03</v>
      </c>
      <c r="C56" s="138">
        <f>6784.42</f>
        <v>6784.42</v>
      </c>
      <c r="D56" s="138">
        <f>5231.36</f>
        <v>5231.3599999999997</v>
      </c>
      <c r="E56" s="138">
        <f>5967.02</f>
        <v>5967.02</v>
      </c>
      <c r="F56" s="138">
        <f t="shared" si="1"/>
        <v>24889.83</v>
      </c>
    </row>
    <row r="57" spans="1:6" x14ac:dyDescent="0.45">
      <c r="A57" s="136" t="s">
        <v>113</v>
      </c>
      <c r="B57" s="138">
        <f>6883.44</f>
        <v>6883.44</v>
      </c>
      <c r="C57" s="138">
        <f>6584.16</f>
        <v>6584.16</v>
      </c>
      <c r="D57" s="138">
        <f>5985.6</f>
        <v>5985.6</v>
      </c>
      <c r="E57" s="138">
        <f>6584.16</f>
        <v>6584.16</v>
      </c>
      <c r="F57" s="138">
        <f t="shared" si="1"/>
        <v>26037.359999999997</v>
      </c>
    </row>
    <row r="58" spans="1:6" x14ac:dyDescent="0.45">
      <c r="A58" s="136" t="s">
        <v>114</v>
      </c>
      <c r="B58" s="138">
        <f>4423.36</f>
        <v>4423.3599999999997</v>
      </c>
      <c r="C58" s="138">
        <f>4231.04</f>
        <v>4231.04</v>
      </c>
      <c r="D58" s="138">
        <f>3846.4</f>
        <v>3846.4</v>
      </c>
      <c r="E58" s="138">
        <f>4231.04</f>
        <v>4231.04</v>
      </c>
      <c r="F58" s="138">
        <f t="shared" si="1"/>
        <v>16731.84</v>
      </c>
    </row>
    <row r="59" spans="1:6" x14ac:dyDescent="0.45">
      <c r="A59" s="136" t="s">
        <v>115</v>
      </c>
      <c r="B59" s="138">
        <f>1710</f>
        <v>1710</v>
      </c>
      <c r="C59" s="138">
        <f>3187.5</f>
        <v>3187.5</v>
      </c>
      <c r="D59" s="138">
        <f>2040</f>
        <v>2040</v>
      </c>
      <c r="E59" s="138">
        <f>1297.5</f>
        <v>1297.5</v>
      </c>
      <c r="F59" s="138">
        <f t="shared" si="1"/>
        <v>8235</v>
      </c>
    </row>
    <row r="60" spans="1:6" x14ac:dyDescent="0.45">
      <c r="A60" s="136" t="s">
        <v>116</v>
      </c>
      <c r="B60" s="138">
        <f>5122.56</f>
        <v>5122.5600000000004</v>
      </c>
      <c r="C60" s="138">
        <f>4899.84</f>
        <v>4899.84</v>
      </c>
      <c r="D60" s="138">
        <f>4454.4</f>
        <v>4454.3999999999996</v>
      </c>
      <c r="E60" s="138">
        <f>4899.84</f>
        <v>4899.84</v>
      </c>
      <c r="F60" s="138">
        <f t="shared" si="1"/>
        <v>19376.64</v>
      </c>
    </row>
    <row r="61" spans="1:6" x14ac:dyDescent="0.45">
      <c r="A61" s="136" t="s">
        <v>117</v>
      </c>
      <c r="B61" s="138">
        <f>10833.34</f>
        <v>10833.34</v>
      </c>
      <c r="C61" s="138">
        <f>10833.34</f>
        <v>10833.34</v>
      </c>
      <c r="D61" s="138">
        <f>10833.34</f>
        <v>10833.34</v>
      </c>
      <c r="E61" s="138">
        <f>10833.34</f>
        <v>10833.34</v>
      </c>
      <c r="F61" s="138">
        <f t="shared" si="1"/>
        <v>43333.36</v>
      </c>
    </row>
    <row r="62" spans="1:6" x14ac:dyDescent="0.45">
      <c r="A62" s="136" t="s">
        <v>118</v>
      </c>
      <c r="B62" s="138">
        <f>5459.28</f>
        <v>5459.28</v>
      </c>
      <c r="C62" s="138">
        <f>5221.92</f>
        <v>5221.92</v>
      </c>
      <c r="D62" s="138">
        <f>4984.56</f>
        <v>4984.5600000000004</v>
      </c>
      <c r="E62" s="138">
        <f>5548.29</f>
        <v>5548.29</v>
      </c>
      <c r="F62" s="138">
        <f t="shared" si="1"/>
        <v>21214.050000000003</v>
      </c>
    </row>
    <row r="63" spans="1:6" x14ac:dyDescent="0.45">
      <c r="A63" s="136" t="s">
        <v>119</v>
      </c>
      <c r="B63" s="138">
        <f>5453.31</f>
        <v>5453.31</v>
      </c>
      <c r="C63" s="138">
        <f>5149.54</f>
        <v>5149.54</v>
      </c>
      <c r="D63" s="138">
        <f>4657.73</f>
        <v>4657.7299999999996</v>
      </c>
      <c r="E63" s="138">
        <f>5120.61</f>
        <v>5120.6099999999997</v>
      </c>
      <c r="F63" s="138">
        <f t="shared" si="1"/>
        <v>20381.189999999999</v>
      </c>
    </row>
    <row r="64" spans="1:6" x14ac:dyDescent="0.45">
      <c r="A64" s="136" t="s">
        <v>120</v>
      </c>
      <c r="B64" s="138">
        <f>3692.97</f>
        <v>3692.97</v>
      </c>
      <c r="C64" s="138">
        <f>3570.98</f>
        <v>3570.98</v>
      </c>
      <c r="D64" s="138">
        <f>3105.2</f>
        <v>3105.2</v>
      </c>
      <c r="E64" s="138">
        <f>3282.64</f>
        <v>3282.64</v>
      </c>
      <c r="F64" s="138">
        <f t="shared" si="1"/>
        <v>13651.789999999999</v>
      </c>
    </row>
    <row r="65" spans="1:6" x14ac:dyDescent="0.45">
      <c r="A65" s="136" t="s">
        <v>121</v>
      </c>
      <c r="B65" s="138">
        <f>6735.75</f>
        <v>6735.75</v>
      </c>
      <c r="C65" s="138">
        <f>5072.43</f>
        <v>5072.43</v>
      </c>
      <c r="D65" s="138">
        <f>7100.05</f>
        <v>7100.05</v>
      </c>
      <c r="E65" s="138">
        <f>6253.6</f>
        <v>6253.6</v>
      </c>
      <c r="F65" s="138">
        <f t="shared" si="1"/>
        <v>25161.83</v>
      </c>
    </row>
    <row r="66" spans="1:6" x14ac:dyDescent="0.45">
      <c r="A66" s="136" t="s">
        <v>122</v>
      </c>
      <c r="B66" s="138">
        <f>4023.6</f>
        <v>4023.6</v>
      </c>
      <c r="C66" s="138">
        <f>4215.2</f>
        <v>4215.2</v>
      </c>
      <c r="D66" s="138">
        <f>3832</f>
        <v>3832</v>
      </c>
      <c r="E66" s="138">
        <f>4215.2</f>
        <v>4215.2</v>
      </c>
      <c r="F66" s="138">
        <f t="shared" si="1"/>
        <v>16286</v>
      </c>
    </row>
    <row r="67" spans="1:6" x14ac:dyDescent="0.45">
      <c r="A67" s="136" t="s">
        <v>123</v>
      </c>
      <c r="B67" s="138">
        <f>6666.66</f>
        <v>6666.66</v>
      </c>
      <c r="C67" s="138">
        <f>3269.23</f>
        <v>3269.23</v>
      </c>
      <c r="D67" s="137"/>
      <c r="E67" s="137"/>
      <c r="F67" s="138">
        <f t="shared" si="1"/>
        <v>9935.89</v>
      </c>
    </row>
    <row r="68" spans="1:6" x14ac:dyDescent="0.45">
      <c r="A68" s="136" t="s">
        <v>124</v>
      </c>
      <c r="B68" s="138">
        <f>7333.34</f>
        <v>7333.34</v>
      </c>
      <c r="C68" s="138">
        <f>7333.34</f>
        <v>7333.34</v>
      </c>
      <c r="D68" s="138">
        <f>7333.34</f>
        <v>7333.34</v>
      </c>
      <c r="E68" s="138">
        <f>7333.34</f>
        <v>7333.34</v>
      </c>
      <c r="F68" s="138">
        <f t="shared" si="1"/>
        <v>29333.360000000001</v>
      </c>
    </row>
    <row r="69" spans="1:6" x14ac:dyDescent="0.45">
      <c r="A69" s="136" t="s">
        <v>125</v>
      </c>
      <c r="B69" s="138">
        <f>1767.5</f>
        <v>1767.5</v>
      </c>
      <c r="C69" s="138">
        <f>2205</f>
        <v>2205</v>
      </c>
      <c r="D69" s="138">
        <f>1347.5</f>
        <v>1347.5</v>
      </c>
      <c r="E69" s="138">
        <f>1890</f>
        <v>1890</v>
      </c>
      <c r="F69" s="138">
        <f t="shared" si="1"/>
        <v>7210</v>
      </c>
    </row>
    <row r="70" spans="1:6" x14ac:dyDescent="0.45">
      <c r="A70" s="136" t="s">
        <v>126</v>
      </c>
      <c r="B70" s="138">
        <f>6574.32</f>
        <v>6574.32</v>
      </c>
      <c r="C70" s="138">
        <f>6288.48</f>
        <v>6288.48</v>
      </c>
      <c r="D70" s="138">
        <f>5716.8</f>
        <v>5716.8</v>
      </c>
      <c r="E70" s="138">
        <f>6288.48</f>
        <v>6288.48</v>
      </c>
      <c r="F70" s="138">
        <f t="shared" si="1"/>
        <v>24868.079999999998</v>
      </c>
    </row>
    <row r="71" spans="1:6" x14ac:dyDescent="0.45">
      <c r="A71" s="136" t="s">
        <v>127</v>
      </c>
      <c r="B71" s="138">
        <f>6014.96</f>
        <v>6014.96</v>
      </c>
      <c r="C71" s="138">
        <f>5753.44</f>
        <v>5753.44</v>
      </c>
      <c r="D71" s="138">
        <f>5230.4</f>
        <v>5230.3999999999996</v>
      </c>
      <c r="E71" s="138">
        <f>5753.44</f>
        <v>5753.44</v>
      </c>
      <c r="F71" s="138">
        <f t="shared" si="1"/>
        <v>22752.239999999998</v>
      </c>
    </row>
    <row r="72" spans="1:6" x14ac:dyDescent="0.45">
      <c r="A72" s="136" t="s">
        <v>128</v>
      </c>
      <c r="B72" s="138">
        <f>7956.5</f>
        <v>7956.5</v>
      </c>
      <c r="C72" s="138">
        <f>12418</f>
        <v>12418</v>
      </c>
      <c r="D72" s="138">
        <f>6154</f>
        <v>6154</v>
      </c>
      <c r="E72" s="138">
        <f>11258.5</f>
        <v>11258.5</v>
      </c>
      <c r="F72" s="138">
        <f t="shared" si="1"/>
        <v>37787</v>
      </c>
    </row>
    <row r="73" spans="1:6" x14ac:dyDescent="0.45">
      <c r="A73" s="136" t="s">
        <v>129</v>
      </c>
      <c r="B73" s="138">
        <f>6916.66</f>
        <v>6916.66</v>
      </c>
      <c r="C73" s="138">
        <f>6916.66</f>
        <v>6916.66</v>
      </c>
      <c r="D73" s="138">
        <f>6916.66</f>
        <v>6916.66</v>
      </c>
      <c r="E73" s="138">
        <f>6916.66</f>
        <v>6916.66</v>
      </c>
      <c r="F73" s="138">
        <f t="shared" si="1"/>
        <v>27666.639999999999</v>
      </c>
    </row>
    <row r="74" spans="1:6" x14ac:dyDescent="0.45">
      <c r="A74" s="136" t="s">
        <v>130</v>
      </c>
      <c r="B74" s="138">
        <f>4450</f>
        <v>4450</v>
      </c>
      <c r="C74" s="138">
        <f>5790</f>
        <v>5790</v>
      </c>
      <c r="D74" s="138">
        <f>5910</f>
        <v>5910</v>
      </c>
      <c r="E74" s="138">
        <f>6070</f>
        <v>6070</v>
      </c>
      <c r="F74" s="138">
        <f t="shared" si="1"/>
        <v>22220</v>
      </c>
    </row>
    <row r="75" spans="1:6" x14ac:dyDescent="0.45">
      <c r="A75" s="136" t="s">
        <v>131</v>
      </c>
      <c r="B75" s="138">
        <f>5170.4</f>
        <v>5170.3999999999996</v>
      </c>
      <c r="C75" s="138">
        <f>4945.6</f>
        <v>4945.6000000000004</v>
      </c>
      <c r="D75" s="138">
        <f>4496</f>
        <v>4496</v>
      </c>
      <c r="E75" s="138">
        <f>4945.6</f>
        <v>4945.6000000000004</v>
      </c>
      <c r="F75" s="138">
        <f t="shared" si="1"/>
        <v>19557.599999999999</v>
      </c>
    </row>
    <row r="76" spans="1:6" x14ac:dyDescent="0.45">
      <c r="A76" s="136" t="s">
        <v>132</v>
      </c>
      <c r="B76" s="138">
        <f>8268.76</f>
        <v>8268.76</v>
      </c>
      <c r="C76" s="138">
        <f>8268.76</f>
        <v>8268.76</v>
      </c>
      <c r="D76" s="138">
        <f>8268.76</f>
        <v>8268.76</v>
      </c>
      <c r="E76" s="138">
        <f>8268.76</f>
        <v>8268.76</v>
      </c>
      <c r="F76" s="138">
        <f t="shared" si="1"/>
        <v>33075.040000000001</v>
      </c>
    </row>
    <row r="77" spans="1:6" x14ac:dyDescent="0.45">
      <c r="A77" s="136" t="s">
        <v>133</v>
      </c>
      <c r="B77" s="138">
        <f>5170.4</f>
        <v>5170.3999999999996</v>
      </c>
      <c r="C77" s="138">
        <f>4945.6</f>
        <v>4945.6000000000004</v>
      </c>
      <c r="D77" s="138">
        <f>4496</f>
        <v>4496</v>
      </c>
      <c r="E77" s="138">
        <f>4945.6</f>
        <v>4945.6000000000004</v>
      </c>
      <c r="F77" s="138">
        <f t="shared" si="1"/>
        <v>19557.599999999999</v>
      </c>
    </row>
    <row r="78" spans="1:6" x14ac:dyDescent="0.45">
      <c r="A78" s="136" t="s">
        <v>134</v>
      </c>
      <c r="B78" s="138">
        <f>6193.44</f>
        <v>6193.44</v>
      </c>
      <c r="C78" s="138">
        <f>5924.16</f>
        <v>5924.16</v>
      </c>
      <c r="D78" s="138">
        <f>5385.6</f>
        <v>5385.6</v>
      </c>
      <c r="E78" s="138">
        <f>5924.16</f>
        <v>5924.16</v>
      </c>
      <c r="F78" s="138">
        <f t="shared" si="1"/>
        <v>23427.359999999997</v>
      </c>
    </row>
    <row r="79" spans="1:6" x14ac:dyDescent="0.45">
      <c r="A79" s="136" t="s">
        <v>135</v>
      </c>
      <c r="B79" s="138">
        <f>7499.5</f>
        <v>7499.5</v>
      </c>
      <c r="C79" s="138">
        <f>10377</f>
        <v>10377</v>
      </c>
      <c r="D79" s="138">
        <f>11056.5</f>
        <v>11056.5</v>
      </c>
      <c r="E79" s="138">
        <f>13243.5</f>
        <v>13243.5</v>
      </c>
      <c r="F79" s="138">
        <f t="shared" si="1"/>
        <v>42176.5</v>
      </c>
    </row>
    <row r="80" spans="1:6" x14ac:dyDescent="0.45">
      <c r="A80" s="136" t="s">
        <v>136</v>
      </c>
      <c r="B80" s="138">
        <f>5529.2</f>
        <v>5529.2</v>
      </c>
      <c r="C80" s="138">
        <f>5288.8</f>
        <v>5288.8</v>
      </c>
      <c r="D80" s="138">
        <f>4808</f>
        <v>4808</v>
      </c>
      <c r="E80" s="138">
        <f>5288.8</f>
        <v>5288.8</v>
      </c>
      <c r="F80" s="138">
        <f t="shared" si="1"/>
        <v>20914.8</v>
      </c>
    </row>
    <row r="81" spans="1:6" x14ac:dyDescent="0.45">
      <c r="A81" s="136" t="s">
        <v>137</v>
      </c>
      <c r="B81" s="138">
        <f>14000</f>
        <v>14000</v>
      </c>
      <c r="C81" s="138">
        <f>14000</f>
        <v>14000</v>
      </c>
      <c r="D81" s="138">
        <f>14000</f>
        <v>14000</v>
      </c>
      <c r="E81" s="138">
        <f>14000</f>
        <v>14000</v>
      </c>
      <c r="F81" s="138">
        <f t="shared" si="1"/>
        <v>56000</v>
      </c>
    </row>
    <row r="82" spans="1:6" x14ac:dyDescent="0.45">
      <c r="A82" s="136" t="s">
        <v>138</v>
      </c>
      <c r="B82" s="138">
        <f>11416.66</f>
        <v>11416.66</v>
      </c>
      <c r="C82" s="138">
        <f>11416.66</f>
        <v>11416.66</v>
      </c>
      <c r="D82" s="138">
        <f>11416.66</f>
        <v>11416.66</v>
      </c>
      <c r="E82" s="138">
        <f>11416.66</f>
        <v>11416.66</v>
      </c>
      <c r="F82" s="138">
        <f t="shared" si="1"/>
        <v>45666.64</v>
      </c>
    </row>
    <row r="83" spans="1:6" x14ac:dyDescent="0.45">
      <c r="A83" s="136" t="s">
        <v>139</v>
      </c>
      <c r="B83" s="138">
        <f>5690.75</f>
        <v>5690.75</v>
      </c>
      <c r="C83" s="138">
        <f>5690.75</f>
        <v>5690.75</v>
      </c>
      <c r="D83" s="138">
        <f>5690.76</f>
        <v>5690.76</v>
      </c>
      <c r="E83" s="138">
        <f>5690.76</f>
        <v>5690.76</v>
      </c>
      <c r="F83" s="138">
        <f t="shared" si="1"/>
        <v>22763.020000000004</v>
      </c>
    </row>
    <row r="84" spans="1:6" x14ac:dyDescent="0.45">
      <c r="A84" s="136" t="s">
        <v>140</v>
      </c>
      <c r="B84" s="138">
        <f>2182.18</f>
        <v>2182.1799999999998</v>
      </c>
      <c r="C84" s="138">
        <f>2517.9</f>
        <v>2517.9</v>
      </c>
      <c r="D84" s="138">
        <f>2182.18</f>
        <v>2182.1799999999998</v>
      </c>
      <c r="E84" s="138">
        <f>2565.86</f>
        <v>2565.86</v>
      </c>
      <c r="F84" s="138">
        <f t="shared" si="1"/>
        <v>9448.1200000000008</v>
      </c>
    </row>
    <row r="85" spans="1:6" x14ac:dyDescent="0.45">
      <c r="A85" s="136" t="s">
        <v>141</v>
      </c>
      <c r="B85" s="138">
        <f>5440.88</f>
        <v>5440.88</v>
      </c>
      <c r="C85" s="138">
        <f>5204.32</f>
        <v>5204.32</v>
      </c>
      <c r="D85" s="138">
        <f>4731.2</f>
        <v>4731.2</v>
      </c>
      <c r="E85" s="138">
        <f>5204.32</f>
        <v>5204.32</v>
      </c>
      <c r="F85" s="138">
        <f t="shared" si="1"/>
        <v>20580.72</v>
      </c>
    </row>
    <row r="86" spans="1:6" x14ac:dyDescent="0.45">
      <c r="A86" s="136" t="s">
        <v>142</v>
      </c>
      <c r="B86" s="138">
        <f>5260.56</f>
        <v>5260.56</v>
      </c>
      <c r="C86" s="138">
        <f>5031.84</f>
        <v>5031.84</v>
      </c>
      <c r="D86" s="138">
        <f>4574.4</f>
        <v>4574.3999999999996</v>
      </c>
      <c r="E86" s="138">
        <f>5031.84</f>
        <v>5031.84</v>
      </c>
      <c r="F86" s="138">
        <f t="shared" si="1"/>
        <v>19898.64</v>
      </c>
    </row>
    <row r="87" spans="1:6" x14ac:dyDescent="0.45">
      <c r="A87" s="136" t="s">
        <v>143</v>
      </c>
      <c r="B87" s="138">
        <f>9166.66</f>
        <v>9166.66</v>
      </c>
      <c r="C87" s="138">
        <f>9166.66</f>
        <v>9166.66</v>
      </c>
      <c r="D87" s="138">
        <f>9166.66</f>
        <v>9166.66</v>
      </c>
      <c r="E87" s="138">
        <f>9166.66</f>
        <v>9166.66</v>
      </c>
      <c r="F87" s="138">
        <f t="shared" si="1"/>
        <v>36666.639999999999</v>
      </c>
    </row>
    <row r="88" spans="1:6" x14ac:dyDescent="0.45">
      <c r="A88" s="136" t="s">
        <v>144</v>
      </c>
      <c r="B88" s="138">
        <f>7593.76</f>
        <v>7593.76</v>
      </c>
      <c r="C88" s="138">
        <f>7593.76</f>
        <v>7593.76</v>
      </c>
      <c r="D88" s="138">
        <f>7593.76</f>
        <v>7593.76</v>
      </c>
      <c r="E88" s="138">
        <f>7593.76</f>
        <v>7593.76</v>
      </c>
      <c r="F88" s="138">
        <f t="shared" si="1"/>
        <v>30375.040000000001</v>
      </c>
    </row>
    <row r="89" spans="1:6" x14ac:dyDescent="0.45">
      <c r="A89" s="136" t="s">
        <v>145</v>
      </c>
      <c r="B89" s="138">
        <f>5352.56</f>
        <v>5352.56</v>
      </c>
      <c r="C89" s="138">
        <f>5119.84</f>
        <v>5119.84</v>
      </c>
      <c r="D89" s="138">
        <f>4654.4</f>
        <v>4654.3999999999996</v>
      </c>
      <c r="E89" s="138">
        <f>5119.84</f>
        <v>5119.84</v>
      </c>
      <c r="F89" s="138">
        <f t="shared" si="1"/>
        <v>20246.64</v>
      </c>
    </row>
    <row r="90" spans="1:6" x14ac:dyDescent="0.45">
      <c r="A90" s="136" t="s">
        <v>146</v>
      </c>
      <c r="B90" s="138">
        <f>5696.64</f>
        <v>5696.64</v>
      </c>
      <c r="C90" s="138">
        <f>5448.96</f>
        <v>5448.96</v>
      </c>
      <c r="D90" s="138">
        <f>4953.6</f>
        <v>4953.6000000000004</v>
      </c>
      <c r="E90" s="138">
        <f>5448.96</f>
        <v>5448.96</v>
      </c>
      <c r="F90" s="138">
        <f t="shared" si="1"/>
        <v>21548.16</v>
      </c>
    </row>
    <row r="91" spans="1:6" x14ac:dyDescent="0.45">
      <c r="A91" s="136" t="s">
        <v>147</v>
      </c>
      <c r="B91" s="138">
        <f>9028.16</f>
        <v>9028.16</v>
      </c>
      <c r="C91" s="138">
        <f>9028.16</f>
        <v>9028.16</v>
      </c>
      <c r="D91" s="138">
        <f>9028.16</f>
        <v>9028.16</v>
      </c>
      <c r="E91" s="138">
        <f>9028.16</f>
        <v>9028.16</v>
      </c>
      <c r="F91" s="138">
        <f t="shared" si="1"/>
        <v>36112.639999999999</v>
      </c>
    </row>
    <row r="92" spans="1:6" x14ac:dyDescent="0.45">
      <c r="A92" s="136" t="s">
        <v>454</v>
      </c>
      <c r="B92" s="138">
        <f>6875</f>
        <v>6875</v>
      </c>
      <c r="C92" s="138">
        <f>6875</f>
        <v>6875</v>
      </c>
      <c r="D92" s="138">
        <f>6875</f>
        <v>6875</v>
      </c>
      <c r="E92" s="138">
        <f>6875</f>
        <v>6875</v>
      </c>
      <c r="F92" s="138">
        <f t="shared" si="1"/>
        <v>27500</v>
      </c>
    </row>
    <row r="93" spans="1:6" x14ac:dyDescent="0.45">
      <c r="A93" s="136" t="s">
        <v>148</v>
      </c>
      <c r="B93" s="138">
        <f>4684.64</f>
        <v>4684.6400000000003</v>
      </c>
      <c r="C93" s="138">
        <f>4480.96</f>
        <v>4480.96</v>
      </c>
      <c r="D93" s="138">
        <f>4073.6</f>
        <v>4073.6</v>
      </c>
      <c r="E93" s="138">
        <f>4480.96</f>
        <v>4480.96</v>
      </c>
      <c r="F93" s="138">
        <f t="shared" si="1"/>
        <v>17720.16</v>
      </c>
    </row>
    <row r="94" spans="1:6" x14ac:dyDescent="0.45">
      <c r="A94" s="136" t="s">
        <v>149</v>
      </c>
      <c r="B94" s="138">
        <f>9166.66</f>
        <v>9166.66</v>
      </c>
      <c r="C94" s="138">
        <f>9166.66</f>
        <v>9166.66</v>
      </c>
      <c r="D94" s="138">
        <f>9166.66</f>
        <v>9166.66</v>
      </c>
      <c r="E94" s="138">
        <f>9166.66</f>
        <v>9166.66</v>
      </c>
      <c r="F94" s="138">
        <f t="shared" si="1"/>
        <v>36666.639999999999</v>
      </c>
    </row>
    <row r="95" spans="1:6" x14ac:dyDescent="0.45">
      <c r="A95" s="136" t="s">
        <v>150</v>
      </c>
      <c r="B95" s="138">
        <f>2566</f>
        <v>2566</v>
      </c>
      <c r="C95" s="138">
        <f>2478</f>
        <v>2478</v>
      </c>
      <c r="D95" s="138">
        <f>2548</f>
        <v>2548</v>
      </c>
      <c r="E95" s="138">
        <f>2520</f>
        <v>2520</v>
      </c>
      <c r="F95" s="138">
        <f t="shared" si="1"/>
        <v>10112</v>
      </c>
    </row>
    <row r="96" spans="1:6" x14ac:dyDescent="0.45">
      <c r="A96" s="136" t="s">
        <v>151</v>
      </c>
      <c r="B96" s="138">
        <f>1362.5</f>
        <v>1362.5</v>
      </c>
      <c r="C96" s="138">
        <f>1825</f>
        <v>1825</v>
      </c>
      <c r="D96" s="138">
        <f>1737.5</f>
        <v>1737.5</v>
      </c>
      <c r="E96" s="138">
        <f>1700</f>
        <v>1700</v>
      </c>
      <c r="F96" s="138">
        <f t="shared" si="1"/>
        <v>6625</v>
      </c>
    </row>
    <row r="97" spans="1:6" x14ac:dyDescent="0.45">
      <c r="A97" s="136" t="s">
        <v>152</v>
      </c>
      <c r="B97" s="138">
        <f>5595.44</f>
        <v>5595.44</v>
      </c>
      <c r="C97" s="138">
        <f>5352.16</f>
        <v>5352.16</v>
      </c>
      <c r="D97" s="138">
        <f>4865.6</f>
        <v>4865.6000000000004</v>
      </c>
      <c r="E97" s="138">
        <f>5352.16</f>
        <v>5352.16</v>
      </c>
      <c r="F97" s="138">
        <f t="shared" si="1"/>
        <v>21165.360000000001</v>
      </c>
    </row>
    <row r="98" spans="1:6" x14ac:dyDescent="0.45">
      <c r="A98" s="136" t="s">
        <v>153</v>
      </c>
      <c r="B98" s="138">
        <f>5440.88</f>
        <v>5440.88</v>
      </c>
      <c r="C98" s="138">
        <f>5204.32</f>
        <v>5204.32</v>
      </c>
      <c r="D98" s="138">
        <f>4731.2</f>
        <v>4731.2</v>
      </c>
      <c r="E98" s="138">
        <f>5204.32</f>
        <v>5204.32</v>
      </c>
      <c r="F98" s="138">
        <f t="shared" si="1"/>
        <v>20580.72</v>
      </c>
    </row>
    <row r="99" spans="1:6" x14ac:dyDescent="0.45">
      <c r="A99" s="136" t="s">
        <v>154</v>
      </c>
      <c r="B99" s="138">
        <f>5017.68</f>
        <v>5017.68</v>
      </c>
      <c r="C99" s="138">
        <f>4799.52</f>
        <v>4799.5200000000004</v>
      </c>
      <c r="D99" s="138">
        <f>4363.2</f>
        <v>4363.2</v>
      </c>
      <c r="E99" s="138">
        <f>4799.52</f>
        <v>4799.5200000000004</v>
      </c>
      <c r="F99" s="138">
        <f t="shared" si="1"/>
        <v>18979.920000000002</v>
      </c>
    </row>
    <row r="100" spans="1:6" x14ac:dyDescent="0.45">
      <c r="A100" s="136" t="s">
        <v>155</v>
      </c>
      <c r="B100" s="138">
        <f>6118</f>
        <v>6118</v>
      </c>
      <c r="C100" s="138">
        <f>5852</f>
        <v>5852</v>
      </c>
      <c r="D100" s="138">
        <f>5320</f>
        <v>5320</v>
      </c>
      <c r="E100" s="138">
        <f>5852</f>
        <v>5852</v>
      </c>
      <c r="F100" s="138">
        <f t="shared" si="1"/>
        <v>23142</v>
      </c>
    </row>
    <row r="101" spans="1:6" x14ac:dyDescent="0.45">
      <c r="A101" s="136" t="s">
        <v>156</v>
      </c>
      <c r="B101" s="138">
        <f>1960</f>
        <v>1960</v>
      </c>
      <c r="C101" s="138">
        <f>2440</f>
        <v>2440</v>
      </c>
      <c r="D101" s="138">
        <f>2640</f>
        <v>2640</v>
      </c>
      <c r="E101" s="138">
        <f>2700</f>
        <v>2700</v>
      </c>
      <c r="F101" s="138">
        <f t="shared" si="1"/>
        <v>9740</v>
      </c>
    </row>
    <row r="102" spans="1:6" x14ac:dyDescent="0.45">
      <c r="A102" s="136" t="s">
        <v>157</v>
      </c>
      <c r="B102" s="137"/>
      <c r="C102" s="137"/>
      <c r="D102" s="138">
        <f>660</f>
        <v>660</v>
      </c>
      <c r="E102" s="137"/>
      <c r="F102" s="138">
        <f t="shared" si="1"/>
        <v>660</v>
      </c>
    </row>
    <row r="103" spans="1:6" x14ac:dyDescent="0.45">
      <c r="A103" s="136" t="s">
        <v>158</v>
      </c>
      <c r="B103" s="138">
        <f>5124.4</f>
        <v>5124.3999999999996</v>
      </c>
      <c r="C103" s="138">
        <f>4901.6</f>
        <v>4901.6000000000004</v>
      </c>
      <c r="D103" s="138">
        <f>4456</f>
        <v>4456</v>
      </c>
      <c r="E103" s="138">
        <f>4901.6</f>
        <v>4901.6000000000004</v>
      </c>
      <c r="F103" s="138">
        <f t="shared" si="1"/>
        <v>19383.599999999999</v>
      </c>
    </row>
    <row r="104" spans="1:6" x14ac:dyDescent="0.45">
      <c r="A104" s="136" t="s">
        <v>451</v>
      </c>
      <c r="B104" s="138">
        <f>4638.64</f>
        <v>4638.6400000000003</v>
      </c>
      <c r="C104" s="138">
        <f>4436.96</f>
        <v>4436.96</v>
      </c>
      <c r="D104" s="138">
        <f>4033.6</f>
        <v>4033.6</v>
      </c>
      <c r="E104" s="138">
        <f>4436.96</f>
        <v>4436.96</v>
      </c>
      <c r="F104" s="138">
        <f t="shared" si="1"/>
        <v>17546.16</v>
      </c>
    </row>
    <row r="105" spans="1:6" x14ac:dyDescent="0.45">
      <c r="A105" s="136" t="s">
        <v>159</v>
      </c>
      <c r="B105" s="138">
        <f>4496.96</f>
        <v>4496.96</v>
      </c>
      <c r="C105" s="138">
        <f>4448.08</f>
        <v>4448.08</v>
      </c>
      <c r="D105" s="138">
        <f>3910.4</f>
        <v>3910.4</v>
      </c>
      <c r="E105" s="138">
        <f>4448.08</f>
        <v>4448.08</v>
      </c>
      <c r="F105" s="138">
        <f t="shared" si="1"/>
        <v>17303.52</v>
      </c>
    </row>
    <row r="106" spans="1:6" x14ac:dyDescent="0.45">
      <c r="A106" s="136" t="s">
        <v>160</v>
      </c>
      <c r="B106" s="138">
        <f>4690.16</f>
        <v>4690.16</v>
      </c>
      <c r="C106" s="138">
        <f>4486.24</f>
        <v>4486.24</v>
      </c>
      <c r="D106" s="138">
        <f>4078.4</f>
        <v>4078.4</v>
      </c>
      <c r="E106" s="138">
        <f>8486.24</f>
        <v>8486.24</v>
      </c>
      <c r="F106" s="138">
        <f t="shared" si="1"/>
        <v>21741.040000000001</v>
      </c>
    </row>
    <row r="107" spans="1:6" x14ac:dyDescent="0.45">
      <c r="A107" s="136" t="s">
        <v>161</v>
      </c>
      <c r="B107" s="138">
        <f>9166.66</f>
        <v>9166.66</v>
      </c>
      <c r="C107" s="138">
        <f>9166.66</f>
        <v>9166.66</v>
      </c>
      <c r="D107" s="138">
        <f>9166.66</f>
        <v>9166.66</v>
      </c>
      <c r="E107" s="138">
        <f>9166.66</f>
        <v>9166.66</v>
      </c>
      <c r="F107" s="138">
        <f t="shared" si="1"/>
        <v>36666.639999999999</v>
      </c>
    </row>
    <row r="108" spans="1:6" x14ac:dyDescent="0.45">
      <c r="A108" s="136" t="s">
        <v>453</v>
      </c>
      <c r="B108" s="138">
        <f>4232</f>
        <v>4232</v>
      </c>
      <c r="C108" s="138">
        <f>4048</f>
        <v>4048</v>
      </c>
      <c r="D108" s="138">
        <f>3680</f>
        <v>3680</v>
      </c>
      <c r="E108" s="138">
        <f>4048</f>
        <v>4048</v>
      </c>
      <c r="F108" s="138">
        <f t="shared" si="1"/>
        <v>16008</v>
      </c>
    </row>
    <row r="109" spans="1:6" x14ac:dyDescent="0.45">
      <c r="A109" s="136" t="s">
        <v>162</v>
      </c>
      <c r="B109" s="138">
        <f>5153.84</f>
        <v>5153.84</v>
      </c>
      <c r="C109" s="138">
        <f>4929.76</f>
        <v>4929.76</v>
      </c>
      <c r="D109" s="138">
        <f>4481.6</f>
        <v>4481.6000000000004</v>
      </c>
      <c r="E109" s="138">
        <f>4929.76</f>
        <v>4929.76</v>
      </c>
      <c r="F109" s="138">
        <f t="shared" si="1"/>
        <v>19494.96</v>
      </c>
    </row>
    <row r="110" spans="1:6" x14ac:dyDescent="0.45">
      <c r="A110" s="136" t="s">
        <v>455</v>
      </c>
      <c r="B110" s="138">
        <f>5551.28</f>
        <v>5551.28</v>
      </c>
      <c r="C110" s="138">
        <f>5309.92</f>
        <v>5309.92</v>
      </c>
      <c r="D110" s="138">
        <f>4827.2</f>
        <v>4827.2</v>
      </c>
      <c r="E110" s="138">
        <f>5309.92</f>
        <v>5309.92</v>
      </c>
      <c r="F110" s="138">
        <f t="shared" si="1"/>
        <v>20998.32</v>
      </c>
    </row>
    <row r="111" spans="1:6" x14ac:dyDescent="0.45">
      <c r="A111" s="136" t="s">
        <v>163</v>
      </c>
      <c r="B111" s="138">
        <f>5129.92</f>
        <v>5129.92</v>
      </c>
      <c r="C111" s="138">
        <f>4906.88</f>
        <v>4906.88</v>
      </c>
      <c r="D111" s="138">
        <f>4460.8</f>
        <v>4460.8</v>
      </c>
      <c r="E111" s="138">
        <f>4906.88</f>
        <v>4906.88</v>
      </c>
      <c r="F111" s="138">
        <f t="shared" si="1"/>
        <v>19404.48</v>
      </c>
    </row>
    <row r="112" spans="1:6" x14ac:dyDescent="0.45">
      <c r="A112" s="136" t="s">
        <v>164</v>
      </c>
      <c r="B112" s="138">
        <f>5129.92</f>
        <v>5129.92</v>
      </c>
      <c r="C112" s="138">
        <f>4906.88</f>
        <v>4906.88</v>
      </c>
      <c r="D112" s="138">
        <f>4460.8</f>
        <v>4460.8</v>
      </c>
      <c r="E112" s="138">
        <f>4906.88</f>
        <v>4906.88</v>
      </c>
      <c r="F112" s="138">
        <f t="shared" si="1"/>
        <v>19404.48</v>
      </c>
    </row>
    <row r="113" spans="1:6" x14ac:dyDescent="0.45">
      <c r="A113" s="136" t="s">
        <v>165</v>
      </c>
      <c r="B113" s="138">
        <f>5315.76</f>
        <v>5315.76</v>
      </c>
      <c r="C113" s="138">
        <f>5084.64</f>
        <v>5084.6400000000003</v>
      </c>
      <c r="D113" s="138">
        <f>4622.4</f>
        <v>4622.3999999999996</v>
      </c>
      <c r="E113" s="138">
        <f>5084.64</f>
        <v>5084.6400000000003</v>
      </c>
      <c r="F113" s="138">
        <f t="shared" si="1"/>
        <v>20107.440000000002</v>
      </c>
    </row>
    <row r="114" spans="1:6" x14ac:dyDescent="0.45">
      <c r="A114" s="136" t="s">
        <v>166</v>
      </c>
      <c r="B114" s="138">
        <f>4644.16</f>
        <v>4644.16</v>
      </c>
      <c r="C114" s="138">
        <f>4442.24</f>
        <v>4442.24</v>
      </c>
      <c r="D114" s="138">
        <f>4038.4</f>
        <v>4038.4</v>
      </c>
      <c r="E114" s="138">
        <f>4442.24</f>
        <v>4442.24</v>
      </c>
      <c r="F114" s="138">
        <f t="shared" ref="F114:F177" si="2">(((B114)+(C114))+(D114))+(E114)</f>
        <v>17567.04</v>
      </c>
    </row>
    <row r="115" spans="1:6" x14ac:dyDescent="0.45">
      <c r="A115" s="136" t="s">
        <v>167</v>
      </c>
      <c r="B115" s="138">
        <f>4476.72</f>
        <v>4476.72</v>
      </c>
      <c r="C115" s="138">
        <f>4282.08</f>
        <v>4282.08</v>
      </c>
      <c r="D115" s="138">
        <f>3947.54</f>
        <v>3947.54</v>
      </c>
      <c r="E115" s="138">
        <f>4510</f>
        <v>4510</v>
      </c>
      <c r="F115" s="138">
        <f t="shared" si="2"/>
        <v>17216.34</v>
      </c>
    </row>
    <row r="116" spans="1:6" x14ac:dyDescent="0.45">
      <c r="A116" s="136" t="s">
        <v>470</v>
      </c>
      <c r="B116" s="138">
        <f>4423.36</f>
        <v>4423.3599999999997</v>
      </c>
      <c r="C116" s="138">
        <f>4231.04</f>
        <v>4231.04</v>
      </c>
      <c r="D116" s="138">
        <f>3846.4</f>
        <v>3846.4</v>
      </c>
      <c r="E116" s="138">
        <f>4231.04</f>
        <v>4231.04</v>
      </c>
      <c r="F116" s="138">
        <f t="shared" si="2"/>
        <v>16731.84</v>
      </c>
    </row>
    <row r="117" spans="1:6" x14ac:dyDescent="0.45">
      <c r="A117" s="136" t="s">
        <v>168</v>
      </c>
      <c r="B117" s="138">
        <f>5122.56</f>
        <v>5122.5600000000004</v>
      </c>
      <c r="C117" s="138">
        <f>4899.84</f>
        <v>4899.84</v>
      </c>
      <c r="D117" s="138">
        <f>4454.4</f>
        <v>4454.3999999999996</v>
      </c>
      <c r="E117" s="138">
        <f>4899.84</f>
        <v>4899.84</v>
      </c>
      <c r="F117" s="138">
        <f t="shared" si="2"/>
        <v>19376.64</v>
      </c>
    </row>
    <row r="118" spans="1:6" x14ac:dyDescent="0.45">
      <c r="A118" s="136" t="s">
        <v>169</v>
      </c>
      <c r="B118" s="138">
        <f>5028.72</f>
        <v>5028.72</v>
      </c>
      <c r="C118" s="138">
        <f>4810.08</f>
        <v>4810.08</v>
      </c>
      <c r="D118" s="138">
        <f>4372.8</f>
        <v>4372.8</v>
      </c>
      <c r="E118" s="138">
        <f>4810.08</f>
        <v>4810.08</v>
      </c>
      <c r="F118" s="138">
        <f t="shared" si="2"/>
        <v>19021.68</v>
      </c>
    </row>
    <row r="119" spans="1:6" x14ac:dyDescent="0.45">
      <c r="A119" s="136" t="s">
        <v>170</v>
      </c>
      <c r="B119" s="138">
        <f>4798.72</f>
        <v>4798.72</v>
      </c>
      <c r="C119" s="138">
        <f>4590.08</f>
        <v>4590.08</v>
      </c>
      <c r="D119" s="138">
        <f>4172.8</f>
        <v>4172.8</v>
      </c>
      <c r="E119" s="138">
        <f>4590.08</f>
        <v>4590.08</v>
      </c>
      <c r="F119" s="138">
        <f t="shared" si="2"/>
        <v>18151.68</v>
      </c>
    </row>
    <row r="120" spans="1:6" x14ac:dyDescent="0.45">
      <c r="A120" s="136" t="s">
        <v>447</v>
      </c>
      <c r="B120" s="138">
        <f>4927.52</f>
        <v>4927.5200000000004</v>
      </c>
      <c r="C120" s="138">
        <f>4713.28</f>
        <v>4713.28</v>
      </c>
      <c r="D120" s="138">
        <f>4284.8</f>
        <v>4284.8</v>
      </c>
      <c r="E120" s="138">
        <f>4713.28</f>
        <v>4713.28</v>
      </c>
      <c r="F120" s="138">
        <f t="shared" si="2"/>
        <v>18638.879999999997</v>
      </c>
    </row>
    <row r="121" spans="1:6" x14ac:dyDescent="0.45">
      <c r="A121" s="136" t="s">
        <v>456</v>
      </c>
      <c r="B121" s="138">
        <f>5773.92</f>
        <v>5773.92</v>
      </c>
      <c r="C121" s="138">
        <f>5522.88</f>
        <v>5522.88</v>
      </c>
      <c r="D121" s="138">
        <f>5020.8</f>
        <v>5020.8</v>
      </c>
      <c r="E121" s="138">
        <f>5522.88</f>
        <v>5522.88</v>
      </c>
      <c r="F121" s="138">
        <f t="shared" si="2"/>
        <v>21840.48</v>
      </c>
    </row>
    <row r="122" spans="1:6" x14ac:dyDescent="0.45">
      <c r="A122" s="136" t="s">
        <v>459</v>
      </c>
      <c r="B122" s="138">
        <f>3520</f>
        <v>3520</v>
      </c>
      <c r="C122" s="138">
        <f>3586</f>
        <v>3586</v>
      </c>
      <c r="D122" s="138">
        <f>3091</f>
        <v>3091</v>
      </c>
      <c r="E122" s="138">
        <f>3377</f>
        <v>3377</v>
      </c>
      <c r="F122" s="138">
        <f t="shared" si="2"/>
        <v>13574</v>
      </c>
    </row>
    <row r="123" spans="1:6" x14ac:dyDescent="0.45">
      <c r="A123" s="136" t="s">
        <v>471</v>
      </c>
      <c r="B123" s="137"/>
      <c r="C123" s="137"/>
      <c r="D123" s="138">
        <f>5312.5</f>
        <v>5312.5</v>
      </c>
      <c r="E123" s="138">
        <f>7083.34</f>
        <v>7083.34</v>
      </c>
      <c r="F123" s="138">
        <f t="shared" si="2"/>
        <v>12395.84</v>
      </c>
    </row>
    <row r="124" spans="1:6" x14ac:dyDescent="0.45">
      <c r="A124" s="136" t="s">
        <v>485</v>
      </c>
      <c r="B124" s="137"/>
      <c r="C124" s="137"/>
      <c r="D124" s="137"/>
      <c r="E124" s="138">
        <f>5077.6</f>
        <v>5077.6000000000004</v>
      </c>
      <c r="F124" s="138">
        <f t="shared" si="2"/>
        <v>5077.6000000000004</v>
      </c>
    </row>
    <row r="125" spans="1:6" x14ac:dyDescent="0.45">
      <c r="A125" s="136" t="s">
        <v>171</v>
      </c>
      <c r="B125" s="139">
        <f>(((((((((((((((((((((((((((((((((((((((((((((((((((((((((((((((((((((((((B51)+(B52))+(B53))+(B54))+(B55))+(B56))+(B57))+(B58))+(B59))+(B60))+(B61))+(B62))+(B63))+(B64))+(B65))+(B66))+(B67))+(B68))+(B69))+(B70))+(B71))+(B72))+(B73))+(B74))+(B75))+(B76))+(B77))+(B78))+(B79))+(B80))+(B81))+(B82))+(B83))+(B84))+(B85))+(B86))+(B87))+(B88))+(B89))+(B90))+(B91))+(B92))+(B93))+(B94))+(B95))+(B96))+(B97))+(B98))+(B99))+(B100))+(B101))+(B102))+(B103))+(B104))+(B105))+(B106))+(B107))+(B108))+(B109))+(B110))+(B111))+(B112))+(B113))+(B114))+(B115))+(B116))+(B117))+(B118))+(B119))+(B120))+(B121))+(B122))+(B123))+(B124)</f>
        <v>452280.50999999989</v>
      </c>
      <c r="C125" s="139">
        <f>(((((((((((((((((((((((((((((((((((((((((((((((((((((((((((((((((((((((((C51)+(C52))+(C53))+(C54))+(C55))+(C56))+(C57))+(C58))+(C59))+(C60))+(C61))+(C62))+(C63))+(C64))+(C65))+(C66))+(C67))+(C68))+(C69))+(C70))+(C71))+(C72))+(C73))+(C74))+(C75))+(C76))+(C77))+(C78))+(C79))+(C80))+(C81))+(C82))+(C83))+(C84))+(C85))+(C86))+(C87))+(C88))+(C89))+(C90))+(C91))+(C92))+(C93))+(C94))+(C95))+(C96))+(C97))+(C98))+(C99))+(C100))+(C101))+(C102))+(C103))+(C104))+(C105))+(C106))+(C107))+(C108))+(C109))+(C110))+(C111))+(C112))+(C113))+(C114))+(C115))+(C116))+(C117))+(C118))+(C119))+(C120))+(C121))+(C122))+(C123))+(C124)</f>
        <v>453864.7900000001</v>
      </c>
      <c r="D125" s="139">
        <f>(((((((((((((((((((((((((((((((((((((((((((((((((((((((((((((((((((((((((D51)+(D52))+(D53))+(D54))+(D55))+(D56))+(D57))+(D58))+(D59))+(D60))+(D61))+(D62))+(D63))+(D64))+(D65))+(D66))+(D67))+(D68))+(D69))+(D70))+(D71))+(D72))+(D73))+(D74))+(D75))+(D76))+(D77))+(D78))+(D79))+(D80))+(D81))+(D82))+(D83))+(D84))+(D85))+(D86))+(D87))+(D88))+(D89))+(D90))+(D91))+(D92))+(D93))+(D94))+(D95))+(D96))+(D97))+(D98))+(D99))+(D100))+(D101))+(D102))+(D103))+(D104))+(D105))+(D106))+(D107))+(D108))+(D109))+(D110))+(D111))+(D112))+(D113))+(D114))+(D115))+(D116))+(D117))+(D118))+(D119))+(D120))+(D121))+(D122))+(D123))+(D124)</f>
        <v>430876.77999999991</v>
      </c>
      <c r="E125" s="139">
        <f>(((((((((((((((((((((((((((((((((((((((((((((((((((((((((((((((((((((((((E51)+(E52))+(E53))+(E54))+(E55))+(E56))+(E57))+(E58))+(E59))+(E60))+(E61))+(E62))+(E63))+(E64))+(E65))+(E66))+(E67))+(E68))+(E69))+(E70))+(E71))+(E72))+(E73))+(E74))+(E75))+(E76))+(E77))+(E78))+(E79))+(E80))+(E81))+(E82))+(E83))+(E84))+(E85))+(E86))+(E87))+(E88))+(E89))+(E90))+(E91))+(E92))+(E93))+(E94))+(E95))+(E96))+(E97))+(E98))+(E99))+(E100))+(E101))+(E102))+(E103))+(E104))+(E105))+(E106))+(E107))+(E108))+(E109))+(E110))+(E111))+(E112))+(E113))+(E114))+(E115))+(E116))+(E117))+(E118))+(E119))+(E120))+(E121))+(E122))+(E123))+(E124)</f>
        <v>467155.26000000013</v>
      </c>
      <c r="F125" s="139">
        <f t="shared" si="2"/>
        <v>1804177.3400000003</v>
      </c>
    </row>
    <row r="126" spans="1:6" x14ac:dyDescent="0.45">
      <c r="A126" s="136" t="s">
        <v>172</v>
      </c>
      <c r="B126" s="137"/>
      <c r="C126" s="137"/>
      <c r="D126" s="137"/>
      <c r="E126" s="137"/>
      <c r="F126" s="138">
        <f t="shared" si="2"/>
        <v>0</v>
      </c>
    </row>
    <row r="127" spans="1:6" x14ac:dyDescent="0.45">
      <c r="A127" s="136" t="s">
        <v>173</v>
      </c>
      <c r="B127" s="138">
        <f>51796.12</f>
        <v>51796.12</v>
      </c>
      <c r="C127" s="138">
        <f>46785.43</f>
        <v>46785.43</v>
      </c>
      <c r="D127" s="138">
        <f>39251.75</f>
        <v>39251.75</v>
      </c>
      <c r="E127" s="138">
        <f>39116.96</f>
        <v>39116.959999999999</v>
      </c>
      <c r="F127" s="138">
        <f t="shared" si="2"/>
        <v>176950.25999999998</v>
      </c>
    </row>
    <row r="128" spans="1:6" x14ac:dyDescent="0.45">
      <c r="A128" s="136" t="s">
        <v>174</v>
      </c>
      <c r="B128" s="139">
        <f>(B126)+(B127)</f>
        <v>51796.12</v>
      </c>
      <c r="C128" s="139">
        <f>(C126)+(C127)</f>
        <v>46785.43</v>
      </c>
      <c r="D128" s="139">
        <f>(D126)+(D127)</f>
        <v>39251.75</v>
      </c>
      <c r="E128" s="139">
        <f>(E126)+(E127)</f>
        <v>39116.959999999999</v>
      </c>
      <c r="F128" s="139">
        <f t="shared" si="2"/>
        <v>176950.25999999998</v>
      </c>
    </row>
    <row r="129" spans="1:6" x14ac:dyDescent="0.45">
      <c r="A129" s="136" t="s">
        <v>175</v>
      </c>
      <c r="B129" s="137"/>
      <c r="C129" s="137"/>
      <c r="D129" s="137"/>
      <c r="E129" s="137"/>
      <c r="F129" s="138">
        <f t="shared" si="2"/>
        <v>0</v>
      </c>
    </row>
    <row r="130" spans="1:6" x14ac:dyDescent="0.45">
      <c r="A130" s="136" t="s">
        <v>176</v>
      </c>
      <c r="B130" s="138">
        <f>25438.08</f>
        <v>25438.080000000002</v>
      </c>
      <c r="C130" s="138">
        <f>27963.66</f>
        <v>27963.66</v>
      </c>
      <c r="D130" s="138">
        <f>27701.16</f>
        <v>27701.16</v>
      </c>
      <c r="E130" s="138">
        <f>29493.09</f>
        <v>29493.09</v>
      </c>
      <c r="F130" s="138">
        <f t="shared" si="2"/>
        <v>110595.99</v>
      </c>
    </row>
    <row r="131" spans="1:6" x14ac:dyDescent="0.45">
      <c r="A131" s="136" t="s">
        <v>178</v>
      </c>
      <c r="B131" s="138">
        <f>164.61</f>
        <v>164.61</v>
      </c>
      <c r="C131" s="138">
        <f>160.18</f>
        <v>160.18</v>
      </c>
      <c r="D131" s="138">
        <f>157.58</f>
        <v>157.58000000000001</v>
      </c>
      <c r="E131" s="138">
        <f>157.58</f>
        <v>157.58000000000001</v>
      </c>
      <c r="F131" s="138">
        <f t="shared" si="2"/>
        <v>639.95000000000005</v>
      </c>
    </row>
    <row r="132" spans="1:6" x14ac:dyDescent="0.45">
      <c r="A132" s="136" t="s">
        <v>179</v>
      </c>
      <c r="B132" s="138">
        <f>61.71</f>
        <v>61.71</v>
      </c>
      <c r="C132" s="138">
        <f>61.71</f>
        <v>61.71</v>
      </c>
      <c r="D132" s="138">
        <f>61.2</f>
        <v>61.2</v>
      </c>
      <c r="E132" s="138">
        <f>62.73</f>
        <v>62.73</v>
      </c>
      <c r="F132" s="138">
        <f t="shared" si="2"/>
        <v>247.35</v>
      </c>
    </row>
    <row r="133" spans="1:6" x14ac:dyDescent="0.45">
      <c r="A133" s="136" t="s">
        <v>180</v>
      </c>
      <c r="B133" s="138">
        <f>669.91</f>
        <v>669.91</v>
      </c>
      <c r="C133" s="138">
        <f>674.41</f>
        <v>674.41</v>
      </c>
      <c r="D133" s="138">
        <f>667.66</f>
        <v>667.66</v>
      </c>
      <c r="E133" s="138">
        <f>686.77</f>
        <v>686.77</v>
      </c>
      <c r="F133" s="138">
        <f t="shared" si="2"/>
        <v>2698.75</v>
      </c>
    </row>
    <row r="134" spans="1:6" x14ac:dyDescent="0.45">
      <c r="A134" s="136" t="s">
        <v>181</v>
      </c>
      <c r="B134" s="138">
        <f>733.2</f>
        <v>733.2</v>
      </c>
      <c r="C134" s="138">
        <f>738.24</f>
        <v>738.24</v>
      </c>
      <c r="D134" s="138">
        <f>730.68</f>
        <v>730.68</v>
      </c>
      <c r="E134" s="138">
        <f>752.1</f>
        <v>752.1</v>
      </c>
      <c r="F134" s="138">
        <f t="shared" si="2"/>
        <v>2954.22</v>
      </c>
    </row>
    <row r="135" spans="1:6" x14ac:dyDescent="0.45">
      <c r="A135" s="136" t="s">
        <v>184</v>
      </c>
      <c r="B135" s="138">
        <f>297</f>
        <v>297</v>
      </c>
      <c r="C135" s="137"/>
      <c r="D135" s="137"/>
      <c r="E135" s="137"/>
      <c r="F135" s="138">
        <f t="shared" si="2"/>
        <v>297</v>
      </c>
    </row>
    <row r="136" spans="1:6" x14ac:dyDescent="0.45">
      <c r="A136" s="136" t="s">
        <v>185</v>
      </c>
      <c r="B136" s="138">
        <f>11269.94</f>
        <v>11269.94</v>
      </c>
      <c r="C136" s="138">
        <f>11683.89</f>
        <v>11683.89</v>
      </c>
      <c r="D136" s="138">
        <f>11329.01</f>
        <v>11329.01</v>
      </c>
      <c r="E136" s="138">
        <f>12348.82</f>
        <v>12348.82</v>
      </c>
      <c r="F136" s="138">
        <f t="shared" si="2"/>
        <v>46631.66</v>
      </c>
    </row>
    <row r="137" spans="1:6" x14ac:dyDescent="0.45">
      <c r="A137" s="136" t="s">
        <v>186</v>
      </c>
      <c r="B137" s="138">
        <f>10737.68</f>
        <v>10737.68</v>
      </c>
      <c r="C137" s="138">
        <f>4650.35</f>
        <v>4650.3500000000004</v>
      </c>
      <c r="D137" s="138">
        <f>5608.7</f>
        <v>5608.7</v>
      </c>
      <c r="E137" s="138">
        <f>4641.84</f>
        <v>4641.84</v>
      </c>
      <c r="F137" s="138">
        <f t="shared" si="2"/>
        <v>25638.57</v>
      </c>
    </row>
    <row r="138" spans="1:6" x14ac:dyDescent="0.45">
      <c r="A138" s="136" t="s">
        <v>187</v>
      </c>
      <c r="B138" s="139">
        <f>((((((((B129)+(B130))+(B131))+(B132))+(B133))+(B134))+(B135))+(B136))+(B137)</f>
        <v>49372.130000000005</v>
      </c>
      <c r="C138" s="139">
        <f>((((((((C129)+(C130))+(C131))+(C132))+(C133))+(C134))+(C135))+(C136))+(C137)</f>
        <v>45932.439999999995</v>
      </c>
      <c r="D138" s="139">
        <f>((((((((D129)+(D130))+(D131))+(D132))+(D133))+(D134))+(D135))+(D136))+(D137)</f>
        <v>46255.99</v>
      </c>
      <c r="E138" s="139">
        <f>((((((((E129)+(E130))+(E131))+(E132))+(E133))+(E134))+(E135))+(E136))+(E137)</f>
        <v>48142.929999999993</v>
      </c>
      <c r="F138" s="139">
        <f t="shared" si="2"/>
        <v>189703.49</v>
      </c>
    </row>
    <row r="139" spans="1:6" x14ac:dyDescent="0.45">
      <c r="A139" s="136" t="s">
        <v>188</v>
      </c>
      <c r="B139" s="137"/>
      <c r="C139" s="137"/>
      <c r="D139" s="137"/>
      <c r="E139" s="137"/>
      <c r="F139" s="138">
        <f t="shared" si="2"/>
        <v>0</v>
      </c>
    </row>
    <row r="140" spans="1:6" x14ac:dyDescent="0.45">
      <c r="A140" s="136" t="s">
        <v>189</v>
      </c>
      <c r="B140" s="138">
        <f>5246.4</f>
        <v>5246.4</v>
      </c>
      <c r="C140" s="138">
        <f>5908.1</f>
        <v>5908.1</v>
      </c>
      <c r="D140" s="138">
        <f>6299.6</f>
        <v>6299.6</v>
      </c>
      <c r="E140" s="138">
        <f>6504.5</f>
        <v>6504.5</v>
      </c>
      <c r="F140" s="138">
        <f t="shared" si="2"/>
        <v>23958.6</v>
      </c>
    </row>
    <row r="141" spans="1:6" x14ac:dyDescent="0.45">
      <c r="A141" s="136" t="s">
        <v>190</v>
      </c>
      <c r="B141" s="139">
        <f>(B139)+(B140)</f>
        <v>5246.4</v>
      </c>
      <c r="C141" s="139">
        <f>(C139)+(C140)</f>
        <v>5908.1</v>
      </c>
      <c r="D141" s="139">
        <f>(D139)+(D140)</f>
        <v>6299.6</v>
      </c>
      <c r="E141" s="139">
        <f>(E139)+(E140)</f>
        <v>6504.5</v>
      </c>
      <c r="F141" s="139">
        <f t="shared" si="2"/>
        <v>23958.6</v>
      </c>
    </row>
    <row r="142" spans="1:6" x14ac:dyDescent="0.45">
      <c r="A142" s="136" t="s">
        <v>191</v>
      </c>
      <c r="B142" s="137"/>
      <c r="C142" s="137"/>
      <c r="D142" s="137"/>
      <c r="E142" s="137"/>
      <c r="F142" s="138">
        <f t="shared" si="2"/>
        <v>0</v>
      </c>
    </row>
    <row r="143" spans="1:6" x14ac:dyDescent="0.45">
      <c r="A143" s="136" t="s">
        <v>192</v>
      </c>
      <c r="B143" s="138">
        <f>3155</f>
        <v>3155</v>
      </c>
      <c r="C143" s="138">
        <f>4465</f>
        <v>4465</v>
      </c>
      <c r="D143" s="138">
        <f>2686.75</f>
        <v>2686.75</v>
      </c>
      <c r="E143" s="138">
        <f>2712</f>
        <v>2712</v>
      </c>
      <c r="F143" s="138">
        <f t="shared" si="2"/>
        <v>13018.75</v>
      </c>
    </row>
    <row r="144" spans="1:6" x14ac:dyDescent="0.45">
      <c r="A144" s="136" t="s">
        <v>435</v>
      </c>
      <c r="B144" s="137"/>
      <c r="C144" s="137"/>
      <c r="D144" s="137"/>
      <c r="E144" s="138">
        <f>2250</f>
        <v>2250</v>
      </c>
      <c r="F144" s="138">
        <f t="shared" si="2"/>
        <v>2250</v>
      </c>
    </row>
    <row r="145" spans="1:6" x14ac:dyDescent="0.45">
      <c r="A145" s="136" t="s">
        <v>445</v>
      </c>
      <c r="B145" s="137"/>
      <c r="C145" s="138">
        <f>1754.87</f>
        <v>1754.87</v>
      </c>
      <c r="D145" s="138">
        <f>3509.74</f>
        <v>3509.74</v>
      </c>
      <c r="E145" s="138">
        <f>2004.87</f>
        <v>2004.87</v>
      </c>
      <c r="F145" s="138">
        <f t="shared" si="2"/>
        <v>7269.48</v>
      </c>
    </row>
    <row r="146" spans="1:6" x14ac:dyDescent="0.45">
      <c r="A146" s="136" t="s">
        <v>460</v>
      </c>
      <c r="B146" s="137"/>
      <c r="C146" s="138">
        <f>3668</f>
        <v>3668</v>
      </c>
      <c r="D146" s="138">
        <f>3157</f>
        <v>3157</v>
      </c>
      <c r="E146" s="138">
        <f>3080</f>
        <v>3080</v>
      </c>
      <c r="F146" s="138">
        <f t="shared" si="2"/>
        <v>9905</v>
      </c>
    </row>
    <row r="147" spans="1:6" x14ac:dyDescent="0.45">
      <c r="A147" s="136" t="s">
        <v>193</v>
      </c>
      <c r="B147" s="139">
        <f>((((B142)+(B143))+(B144))+(B145))+(B146)</f>
        <v>3155</v>
      </c>
      <c r="C147" s="139">
        <f>((((C142)+(C143))+(C144))+(C145))+(C146)</f>
        <v>9887.869999999999</v>
      </c>
      <c r="D147" s="139">
        <f>((((D142)+(D143))+(D144))+(D145))+(D146)</f>
        <v>9353.49</v>
      </c>
      <c r="E147" s="139">
        <f>((((E142)+(E143))+(E144))+(E145))+(E146)</f>
        <v>10046.869999999999</v>
      </c>
      <c r="F147" s="139">
        <f t="shared" si="2"/>
        <v>32443.23</v>
      </c>
    </row>
    <row r="148" spans="1:6" x14ac:dyDescent="0.45">
      <c r="A148" s="136" t="s">
        <v>194</v>
      </c>
      <c r="B148" s="139">
        <f>(((((B50)+(B125))+(B128))+(B138))+(B141))+(B147)</f>
        <v>561850.15999999992</v>
      </c>
      <c r="C148" s="139">
        <f>(((((C50)+(C125))+(C128))+(C138))+(C141))+(C147)</f>
        <v>562378.63</v>
      </c>
      <c r="D148" s="139">
        <f>(((((D50)+(D125))+(D128))+(D138))+(D141))+(D147)</f>
        <v>532037.60999999987</v>
      </c>
      <c r="E148" s="139">
        <f>(((((E50)+(E125))+(E128))+(E138))+(E141))+(E147)</f>
        <v>570966.52000000014</v>
      </c>
      <c r="F148" s="139">
        <f t="shared" si="2"/>
        <v>2227232.92</v>
      </c>
    </row>
    <row r="149" spans="1:6" x14ac:dyDescent="0.45">
      <c r="A149" s="136" t="s">
        <v>195</v>
      </c>
      <c r="B149" s="137"/>
      <c r="C149" s="137"/>
      <c r="D149" s="137"/>
      <c r="E149" s="137"/>
      <c r="F149" s="138">
        <f t="shared" si="2"/>
        <v>0</v>
      </c>
    </row>
    <row r="150" spans="1:6" x14ac:dyDescent="0.45">
      <c r="A150" s="136" t="s">
        <v>196</v>
      </c>
      <c r="B150" s="137"/>
      <c r="C150" s="137"/>
      <c r="D150" s="137"/>
      <c r="E150" s="137"/>
      <c r="F150" s="138">
        <f t="shared" si="2"/>
        <v>0</v>
      </c>
    </row>
    <row r="151" spans="1:6" x14ac:dyDescent="0.45">
      <c r="A151" s="136" t="s">
        <v>197</v>
      </c>
      <c r="B151" s="138">
        <f>234.34</f>
        <v>234.34</v>
      </c>
      <c r="C151" s="138">
        <f>818.48</f>
        <v>818.48</v>
      </c>
      <c r="D151" s="138">
        <f>659.3</f>
        <v>659.3</v>
      </c>
      <c r="E151" s="138">
        <f>5118.51</f>
        <v>5118.51</v>
      </c>
      <c r="F151" s="138">
        <f t="shared" si="2"/>
        <v>6830.63</v>
      </c>
    </row>
    <row r="152" spans="1:6" x14ac:dyDescent="0.45">
      <c r="A152" s="136" t="s">
        <v>198</v>
      </c>
      <c r="B152" s="138">
        <f>52.22</f>
        <v>52.22</v>
      </c>
      <c r="C152" s="138">
        <f>674.78</f>
        <v>674.78</v>
      </c>
      <c r="D152" s="138">
        <f>1113.17</f>
        <v>1113.17</v>
      </c>
      <c r="E152" s="138">
        <f>1635.43</f>
        <v>1635.43</v>
      </c>
      <c r="F152" s="138">
        <f t="shared" si="2"/>
        <v>3475.6000000000004</v>
      </c>
    </row>
    <row r="153" spans="1:6" x14ac:dyDescent="0.45">
      <c r="A153" s="136" t="s">
        <v>199</v>
      </c>
      <c r="B153" s="138">
        <f>587.2</f>
        <v>587.20000000000005</v>
      </c>
      <c r="C153" s="138">
        <f>522.5</f>
        <v>522.5</v>
      </c>
      <c r="D153" s="138">
        <f>65.63</f>
        <v>65.63</v>
      </c>
      <c r="E153" s="138">
        <f>1132.39</f>
        <v>1132.3900000000001</v>
      </c>
      <c r="F153" s="138">
        <f t="shared" si="2"/>
        <v>2307.7200000000003</v>
      </c>
    </row>
    <row r="154" spans="1:6" x14ac:dyDescent="0.45">
      <c r="A154" s="136" t="s">
        <v>200</v>
      </c>
      <c r="B154" s="138">
        <f>772.16</f>
        <v>772.16</v>
      </c>
      <c r="C154" s="138">
        <f>2046.91</f>
        <v>2046.91</v>
      </c>
      <c r="D154" s="138">
        <f>1221.34</f>
        <v>1221.3399999999999</v>
      </c>
      <c r="E154" s="138">
        <f>1012.73</f>
        <v>1012.73</v>
      </c>
      <c r="F154" s="138">
        <f t="shared" si="2"/>
        <v>5053.1399999999994</v>
      </c>
    </row>
    <row r="155" spans="1:6" x14ac:dyDescent="0.45">
      <c r="A155" s="136" t="s">
        <v>201</v>
      </c>
      <c r="B155" s="137"/>
      <c r="C155" s="137"/>
      <c r="D155" s="137"/>
      <c r="E155" s="137"/>
      <c r="F155" s="138">
        <f t="shared" si="2"/>
        <v>0</v>
      </c>
    </row>
    <row r="156" spans="1:6" x14ac:dyDescent="0.45">
      <c r="A156" s="136" t="s">
        <v>202</v>
      </c>
      <c r="B156" s="138">
        <f>241.73</f>
        <v>241.73</v>
      </c>
      <c r="C156" s="138">
        <f>833.4</f>
        <v>833.4</v>
      </c>
      <c r="D156" s="138">
        <f>1066.93</f>
        <v>1066.93</v>
      </c>
      <c r="E156" s="138">
        <f>4575</f>
        <v>4575</v>
      </c>
      <c r="F156" s="138">
        <f t="shared" si="2"/>
        <v>6717.0599999999995</v>
      </c>
    </row>
    <row r="157" spans="1:6" x14ac:dyDescent="0.45">
      <c r="A157" s="136" t="s">
        <v>203</v>
      </c>
      <c r="B157" s="138">
        <f>323.38</f>
        <v>323.38</v>
      </c>
      <c r="C157" s="138">
        <f>150</f>
        <v>150</v>
      </c>
      <c r="D157" s="137"/>
      <c r="E157" s="138">
        <f>229.13</f>
        <v>229.13</v>
      </c>
      <c r="F157" s="138">
        <f t="shared" si="2"/>
        <v>702.51</v>
      </c>
    </row>
    <row r="158" spans="1:6" x14ac:dyDescent="0.45">
      <c r="A158" s="136" t="s">
        <v>204</v>
      </c>
      <c r="B158" s="139">
        <f>((B155)+(B156))+(B157)</f>
        <v>565.11</v>
      </c>
      <c r="C158" s="139">
        <f>((C155)+(C156))+(C157)</f>
        <v>983.4</v>
      </c>
      <c r="D158" s="139">
        <f>((D155)+(D156))+(D157)</f>
        <v>1066.93</v>
      </c>
      <c r="E158" s="139">
        <f>((E155)+(E156))+(E157)</f>
        <v>4804.13</v>
      </c>
      <c r="F158" s="139">
        <f t="shared" si="2"/>
        <v>7419.57</v>
      </c>
    </row>
    <row r="159" spans="1:6" x14ac:dyDescent="0.45">
      <c r="A159" s="136" t="s">
        <v>205</v>
      </c>
      <c r="B159" s="137"/>
      <c r="C159" s="137"/>
      <c r="D159" s="137"/>
      <c r="E159" s="137"/>
      <c r="F159" s="138">
        <f t="shared" si="2"/>
        <v>0</v>
      </c>
    </row>
    <row r="160" spans="1:6" x14ac:dyDescent="0.45">
      <c r="A160" s="136" t="s">
        <v>206</v>
      </c>
      <c r="B160" s="137"/>
      <c r="C160" s="138">
        <f>679.94</f>
        <v>679.94</v>
      </c>
      <c r="D160" s="138">
        <f>846.56</f>
        <v>846.56</v>
      </c>
      <c r="E160" s="138">
        <f>2346.36</f>
        <v>2346.36</v>
      </c>
      <c r="F160" s="138">
        <f t="shared" si="2"/>
        <v>3872.86</v>
      </c>
    </row>
    <row r="161" spans="1:6" x14ac:dyDescent="0.45">
      <c r="A161" s="136" t="s">
        <v>207</v>
      </c>
      <c r="B161" s="138">
        <f>537.3</f>
        <v>537.29999999999995</v>
      </c>
      <c r="C161" s="138">
        <f>5724.31</f>
        <v>5724.31</v>
      </c>
      <c r="D161" s="138">
        <f>7000.16</f>
        <v>7000.16</v>
      </c>
      <c r="E161" s="138">
        <f>8761.57</f>
        <v>8761.57</v>
      </c>
      <c r="F161" s="138">
        <f t="shared" si="2"/>
        <v>22023.34</v>
      </c>
    </row>
    <row r="162" spans="1:6" x14ac:dyDescent="0.45">
      <c r="A162" s="136" t="s">
        <v>208</v>
      </c>
      <c r="B162" s="138">
        <f>1685.82</f>
        <v>1685.82</v>
      </c>
      <c r="C162" s="138">
        <f>1701.73</f>
        <v>1701.73</v>
      </c>
      <c r="D162" s="137"/>
      <c r="E162" s="138">
        <f>3490.92</f>
        <v>3490.92</v>
      </c>
      <c r="F162" s="138">
        <f t="shared" si="2"/>
        <v>6878.47</v>
      </c>
    </row>
    <row r="163" spans="1:6" x14ac:dyDescent="0.45">
      <c r="A163" s="136" t="s">
        <v>209</v>
      </c>
      <c r="B163" s="137"/>
      <c r="C163" s="138">
        <f>12785.52</f>
        <v>12785.52</v>
      </c>
      <c r="D163" s="138">
        <f>1501.79</f>
        <v>1501.79</v>
      </c>
      <c r="E163" s="138">
        <f>18826.04</f>
        <v>18826.04</v>
      </c>
      <c r="F163" s="138">
        <f t="shared" si="2"/>
        <v>33113.350000000006</v>
      </c>
    </row>
    <row r="164" spans="1:6" x14ac:dyDescent="0.45">
      <c r="A164" s="136" t="s">
        <v>210</v>
      </c>
      <c r="B164" s="139">
        <f>((((B159)+(B160))+(B161))+(B162))+(B163)</f>
        <v>2223.12</v>
      </c>
      <c r="C164" s="139">
        <f>((((C159)+(C160))+(C161))+(C162))+(C163)</f>
        <v>20891.5</v>
      </c>
      <c r="D164" s="139">
        <f>((((D159)+(D160))+(D161))+(D162))+(D163)</f>
        <v>9348.5099999999984</v>
      </c>
      <c r="E164" s="139">
        <f>((((E159)+(E160))+(E161))+(E162))+(E163)</f>
        <v>33424.89</v>
      </c>
      <c r="F164" s="139">
        <f t="shared" si="2"/>
        <v>65888.01999999999</v>
      </c>
    </row>
    <row r="165" spans="1:6" x14ac:dyDescent="0.45">
      <c r="A165" s="136" t="s">
        <v>211</v>
      </c>
      <c r="B165" s="137"/>
      <c r="C165" s="137"/>
      <c r="D165" s="137"/>
      <c r="E165" s="137"/>
      <c r="F165" s="138">
        <f t="shared" si="2"/>
        <v>0</v>
      </c>
    </row>
    <row r="166" spans="1:6" x14ac:dyDescent="0.45">
      <c r="A166" s="136" t="s">
        <v>212</v>
      </c>
      <c r="B166" s="138">
        <f>196.13</f>
        <v>196.13</v>
      </c>
      <c r="C166" s="138">
        <f>937.84</f>
        <v>937.84</v>
      </c>
      <c r="D166" s="138">
        <f>857.57</f>
        <v>857.57</v>
      </c>
      <c r="E166" s="138">
        <f>931.91</f>
        <v>931.91</v>
      </c>
      <c r="F166" s="138">
        <f t="shared" si="2"/>
        <v>2923.45</v>
      </c>
    </row>
    <row r="167" spans="1:6" x14ac:dyDescent="0.45">
      <c r="A167" s="136" t="s">
        <v>213</v>
      </c>
      <c r="B167" s="138">
        <f>598.35</f>
        <v>598.35</v>
      </c>
      <c r="C167" s="138">
        <f>2530.59</f>
        <v>2530.59</v>
      </c>
      <c r="D167" s="138">
        <f>1186</f>
        <v>1186</v>
      </c>
      <c r="E167" s="138">
        <f>1969.26</f>
        <v>1969.26</v>
      </c>
      <c r="F167" s="138">
        <f t="shared" si="2"/>
        <v>6284.2000000000007</v>
      </c>
    </row>
    <row r="168" spans="1:6" x14ac:dyDescent="0.45">
      <c r="A168" s="136" t="s">
        <v>214</v>
      </c>
      <c r="B168" s="138">
        <f>18.99</f>
        <v>18.989999999999998</v>
      </c>
      <c r="C168" s="137"/>
      <c r="D168" s="138">
        <f>52.51</f>
        <v>52.51</v>
      </c>
      <c r="E168" s="138">
        <f>209.67</f>
        <v>209.67</v>
      </c>
      <c r="F168" s="138">
        <f t="shared" si="2"/>
        <v>281.16999999999996</v>
      </c>
    </row>
    <row r="169" spans="1:6" x14ac:dyDescent="0.45">
      <c r="A169" s="136" t="s">
        <v>446</v>
      </c>
      <c r="B169" s="138">
        <f>1200</f>
        <v>1200</v>
      </c>
      <c r="C169" s="137"/>
      <c r="D169" s="137"/>
      <c r="E169" s="138">
        <f>275.85</f>
        <v>275.85000000000002</v>
      </c>
      <c r="F169" s="138">
        <f t="shared" si="2"/>
        <v>1475.85</v>
      </c>
    </row>
    <row r="170" spans="1:6" x14ac:dyDescent="0.45">
      <c r="A170" s="136" t="s">
        <v>215</v>
      </c>
      <c r="B170" s="137"/>
      <c r="C170" s="138">
        <f>703.13</f>
        <v>703.13</v>
      </c>
      <c r="D170" s="138">
        <f>1160</f>
        <v>1160</v>
      </c>
      <c r="E170" s="138">
        <f>-400</f>
        <v>-400</v>
      </c>
      <c r="F170" s="138">
        <f t="shared" si="2"/>
        <v>1463.13</v>
      </c>
    </row>
    <row r="171" spans="1:6" x14ac:dyDescent="0.45">
      <c r="A171" s="136" t="s">
        <v>216</v>
      </c>
      <c r="B171" s="138">
        <f>1442.85</f>
        <v>1442.85</v>
      </c>
      <c r="C171" s="138">
        <f>1885.85</f>
        <v>1885.85</v>
      </c>
      <c r="D171" s="138">
        <f>327.86</f>
        <v>327.86</v>
      </c>
      <c r="E171" s="138">
        <f>261.33</f>
        <v>261.33</v>
      </c>
      <c r="F171" s="138">
        <f t="shared" si="2"/>
        <v>3917.89</v>
      </c>
    </row>
    <row r="172" spans="1:6" x14ac:dyDescent="0.45">
      <c r="A172" s="136" t="s">
        <v>217</v>
      </c>
      <c r="B172" s="139">
        <f>((((((B165)+(B166))+(B167))+(B168))+(B169))+(B170))+(B171)</f>
        <v>3456.3199999999997</v>
      </c>
      <c r="C172" s="139">
        <f>((((((C165)+(C166))+(C167))+(C168))+(C169))+(C170))+(C171)</f>
        <v>6057.41</v>
      </c>
      <c r="D172" s="139">
        <f>((((((D165)+(D166))+(D167))+(D168))+(D169))+(D170))+(D171)</f>
        <v>3583.9400000000005</v>
      </c>
      <c r="E172" s="139">
        <f>((((((E165)+(E166))+(E167))+(E168))+(E169))+(E170))+(E171)</f>
        <v>3248.02</v>
      </c>
      <c r="F172" s="139">
        <f t="shared" si="2"/>
        <v>16345.69</v>
      </c>
    </row>
    <row r="173" spans="1:6" x14ac:dyDescent="0.45">
      <c r="A173" s="136" t="s">
        <v>218</v>
      </c>
      <c r="B173" s="137"/>
      <c r="C173" s="137"/>
      <c r="D173" s="137"/>
      <c r="E173" s="137"/>
      <c r="F173" s="138">
        <f t="shared" si="2"/>
        <v>0</v>
      </c>
    </row>
    <row r="174" spans="1:6" x14ac:dyDescent="0.45">
      <c r="A174" s="136" t="s">
        <v>219</v>
      </c>
      <c r="B174" s="138">
        <f>179.42</f>
        <v>179.42</v>
      </c>
      <c r="C174" s="138">
        <f>24.4</f>
        <v>24.4</v>
      </c>
      <c r="D174" s="138">
        <f>107</f>
        <v>107</v>
      </c>
      <c r="E174" s="138">
        <f>17.84</f>
        <v>17.84</v>
      </c>
      <c r="F174" s="138">
        <f t="shared" si="2"/>
        <v>328.65999999999997</v>
      </c>
    </row>
    <row r="175" spans="1:6" x14ac:dyDescent="0.45">
      <c r="A175" s="136" t="s">
        <v>220</v>
      </c>
      <c r="B175" s="138">
        <f>2467.56</f>
        <v>2467.56</v>
      </c>
      <c r="C175" s="138">
        <f>2745.05</f>
        <v>2745.05</v>
      </c>
      <c r="D175" s="138">
        <f>1841.37</f>
        <v>1841.37</v>
      </c>
      <c r="E175" s="138">
        <f>2777.15</f>
        <v>2777.15</v>
      </c>
      <c r="F175" s="138">
        <f t="shared" si="2"/>
        <v>9831.130000000001</v>
      </c>
    </row>
    <row r="176" spans="1:6" x14ac:dyDescent="0.45">
      <c r="A176" s="136" t="s">
        <v>221</v>
      </c>
      <c r="B176" s="138">
        <f>455.5</f>
        <v>455.5</v>
      </c>
      <c r="C176" s="137"/>
      <c r="D176" s="138">
        <f>417.55</f>
        <v>417.55</v>
      </c>
      <c r="E176" s="138">
        <f>84.7</f>
        <v>84.7</v>
      </c>
      <c r="F176" s="138">
        <f t="shared" si="2"/>
        <v>957.75</v>
      </c>
    </row>
    <row r="177" spans="1:6" x14ac:dyDescent="0.45">
      <c r="A177" s="136" t="s">
        <v>222</v>
      </c>
      <c r="B177" s="138">
        <f>157.08</f>
        <v>157.08000000000001</v>
      </c>
      <c r="C177" s="138">
        <f>419.74</f>
        <v>419.74</v>
      </c>
      <c r="D177" s="138">
        <f>785.67</f>
        <v>785.67</v>
      </c>
      <c r="E177" s="138">
        <f>2065.45</f>
        <v>2065.4499999999998</v>
      </c>
      <c r="F177" s="138">
        <f t="shared" si="2"/>
        <v>3427.9399999999996</v>
      </c>
    </row>
    <row r="178" spans="1:6" x14ac:dyDescent="0.45">
      <c r="A178" s="136" t="s">
        <v>223</v>
      </c>
      <c r="B178" s="138">
        <f>785</f>
        <v>785</v>
      </c>
      <c r="C178" s="138">
        <f>465</f>
        <v>465</v>
      </c>
      <c r="D178" s="137"/>
      <c r="E178" s="138">
        <f>465</f>
        <v>465</v>
      </c>
      <c r="F178" s="138">
        <f t="shared" ref="F178:F241" si="3">(((B178)+(C178))+(D178))+(E178)</f>
        <v>1715</v>
      </c>
    </row>
    <row r="179" spans="1:6" x14ac:dyDescent="0.45">
      <c r="A179" s="136" t="s">
        <v>472</v>
      </c>
      <c r="B179" s="138">
        <f>2093.8</f>
        <v>2093.8000000000002</v>
      </c>
      <c r="C179" s="138">
        <f>8330.64</f>
        <v>8330.64</v>
      </c>
      <c r="D179" s="138">
        <f>3420.95</f>
        <v>3420.95</v>
      </c>
      <c r="E179" s="138">
        <f>6032.38</f>
        <v>6032.38</v>
      </c>
      <c r="F179" s="138">
        <f t="shared" si="3"/>
        <v>19877.77</v>
      </c>
    </row>
    <row r="180" spans="1:6" x14ac:dyDescent="0.45">
      <c r="A180" s="136" t="s">
        <v>473</v>
      </c>
      <c r="B180" s="138">
        <f>2800</f>
        <v>2800</v>
      </c>
      <c r="C180" s="138">
        <f>1095</f>
        <v>1095</v>
      </c>
      <c r="D180" s="138">
        <f>1086.99</f>
        <v>1086.99</v>
      </c>
      <c r="E180" s="138">
        <f>326.99</f>
        <v>326.99</v>
      </c>
      <c r="F180" s="138">
        <f t="shared" si="3"/>
        <v>5308.98</v>
      </c>
    </row>
    <row r="181" spans="1:6" x14ac:dyDescent="0.45">
      <c r="A181" s="136" t="s">
        <v>474</v>
      </c>
      <c r="B181" s="138">
        <f>2.99</f>
        <v>2.99</v>
      </c>
      <c r="C181" s="138">
        <f>156.2</f>
        <v>156.19999999999999</v>
      </c>
      <c r="D181" s="138">
        <f>120.86</f>
        <v>120.86</v>
      </c>
      <c r="E181" s="138">
        <f>26665.98</f>
        <v>26665.98</v>
      </c>
      <c r="F181" s="138">
        <f t="shared" si="3"/>
        <v>26946.03</v>
      </c>
    </row>
    <row r="182" spans="1:6" x14ac:dyDescent="0.45">
      <c r="A182" s="136" t="s">
        <v>475</v>
      </c>
      <c r="B182" s="138">
        <f>577.64</f>
        <v>577.64</v>
      </c>
      <c r="C182" s="138">
        <f>1039.45</f>
        <v>1039.45</v>
      </c>
      <c r="D182" s="138">
        <f>352.98</f>
        <v>352.98</v>
      </c>
      <c r="E182" s="138">
        <f>727.39</f>
        <v>727.39</v>
      </c>
      <c r="F182" s="138">
        <f t="shared" si="3"/>
        <v>2697.46</v>
      </c>
    </row>
    <row r="183" spans="1:6" x14ac:dyDescent="0.45">
      <c r="A183" s="136" t="s">
        <v>476</v>
      </c>
      <c r="B183" s="138">
        <f>598.98</f>
        <v>598.98</v>
      </c>
      <c r="C183" s="138">
        <f>1208.69</f>
        <v>1208.69</v>
      </c>
      <c r="D183" s="138">
        <f>1684.07</f>
        <v>1684.07</v>
      </c>
      <c r="E183" s="138">
        <f>1166.82</f>
        <v>1166.82</v>
      </c>
      <c r="F183" s="138">
        <f t="shared" si="3"/>
        <v>4658.5599999999995</v>
      </c>
    </row>
    <row r="184" spans="1:6" x14ac:dyDescent="0.45">
      <c r="A184" s="136" t="s">
        <v>224</v>
      </c>
      <c r="B184" s="139">
        <f>((((((((((B173)+(B174))+(B175))+(B176))+(B177))+(B178))+(B179))+(B180))+(B181))+(B182))+(B183)</f>
        <v>10117.969999999999</v>
      </c>
      <c r="C184" s="139">
        <f>((((((((((C173)+(C174))+(C175))+(C176))+(C177))+(C178))+(C179))+(C180))+(C181))+(C182))+(C183)</f>
        <v>15484.170000000002</v>
      </c>
      <c r="D184" s="139">
        <f>((((((((((D173)+(D174))+(D175))+(D176))+(D177))+(D178))+(D179))+(D180))+(D181))+(D182))+(D183)</f>
        <v>9817.4399999999987</v>
      </c>
      <c r="E184" s="139">
        <f>((((((((((E173)+(E174))+(E175))+(E176))+(E177))+(E178))+(E179))+(E180))+(E181))+(E182))+(E183)</f>
        <v>40329.699999999997</v>
      </c>
      <c r="F184" s="139">
        <f t="shared" si="3"/>
        <v>75749.279999999999</v>
      </c>
    </row>
    <row r="185" spans="1:6" x14ac:dyDescent="0.45">
      <c r="A185" s="136" t="s">
        <v>226</v>
      </c>
      <c r="B185" s="138">
        <f>362675.06</f>
        <v>362675.06</v>
      </c>
      <c r="C185" s="138">
        <f>244733.75</f>
        <v>244733.75</v>
      </c>
      <c r="D185" s="138">
        <f>205108.9</f>
        <v>205108.9</v>
      </c>
      <c r="E185" s="138">
        <f>168007.83</f>
        <v>168007.83</v>
      </c>
      <c r="F185" s="138">
        <f t="shared" si="3"/>
        <v>980525.54</v>
      </c>
    </row>
    <row r="186" spans="1:6" x14ac:dyDescent="0.45">
      <c r="A186" s="136" t="s">
        <v>227</v>
      </c>
      <c r="B186" s="138">
        <f>2453.42</f>
        <v>2453.42</v>
      </c>
      <c r="C186" s="138">
        <f>1602.23</f>
        <v>1602.23</v>
      </c>
      <c r="D186" s="138">
        <f>1798.29</f>
        <v>1798.29</v>
      </c>
      <c r="E186" s="138">
        <f>440.6</f>
        <v>440.6</v>
      </c>
      <c r="F186" s="138">
        <f t="shared" si="3"/>
        <v>6294.5400000000009</v>
      </c>
    </row>
    <row r="187" spans="1:6" x14ac:dyDescent="0.45">
      <c r="A187" s="136" t="s">
        <v>228</v>
      </c>
      <c r="B187" s="138">
        <f>4500</f>
        <v>4500</v>
      </c>
      <c r="C187" s="138">
        <f>4500</f>
        <v>4500</v>
      </c>
      <c r="D187" s="138">
        <f>4500</f>
        <v>4500</v>
      </c>
      <c r="E187" s="138">
        <f>4500</f>
        <v>4500</v>
      </c>
      <c r="F187" s="138">
        <f t="shared" si="3"/>
        <v>18000</v>
      </c>
    </row>
    <row r="188" spans="1:6" x14ac:dyDescent="0.45">
      <c r="A188" s="136" t="s">
        <v>229</v>
      </c>
      <c r="B188" s="139">
        <f>(((((((((((B150)+(B151))+(B152))+(B153))+(B154))+(B158))+(B164))+(B172))+(B184))+(B185))+(B186))+(B187)</f>
        <v>387636.92</v>
      </c>
      <c r="C188" s="139">
        <f>(((((((((((C150)+(C151))+(C152))+(C153))+(C154))+(C158))+(C164))+(C172))+(C184))+(C185))+(C186))+(C187)</f>
        <v>298315.13</v>
      </c>
      <c r="D188" s="139">
        <f>(((((((((((D150)+(D151))+(D152))+(D153))+(D154))+(D158))+(D164))+(D172))+(D184))+(D185))+(D186))+(D187)</f>
        <v>238283.45</v>
      </c>
      <c r="E188" s="139">
        <f>(((((((((((E150)+(E151))+(E152))+(E153))+(E154))+(E158))+(E164))+(E172))+(E184))+(E185))+(E186))+(E187)</f>
        <v>263654.23</v>
      </c>
      <c r="F188" s="139">
        <f t="shared" si="3"/>
        <v>1187889.73</v>
      </c>
    </row>
    <row r="189" spans="1:6" x14ac:dyDescent="0.45">
      <c r="A189" s="136" t="s">
        <v>230</v>
      </c>
      <c r="B189" s="137"/>
      <c r="C189" s="137"/>
      <c r="D189" s="137"/>
      <c r="E189" s="137"/>
      <c r="F189" s="138">
        <f t="shared" si="3"/>
        <v>0</v>
      </c>
    </row>
    <row r="190" spans="1:6" x14ac:dyDescent="0.45">
      <c r="A190" s="136" t="s">
        <v>231</v>
      </c>
      <c r="B190" s="138">
        <f>19856.8</f>
        <v>19856.8</v>
      </c>
      <c r="C190" s="138">
        <f>19856.8</f>
        <v>19856.8</v>
      </c>
      <c r="D190" s="138">
        <f>19856.8</f>
        <v>19856.8</v>
      </c>
      <c r="E190" s="138">
        <f>19856.8</f>
        <v>19856.8</v>
      </c>
      <c r="F190" s="138">
        <f t="shared" si="3"/>
        <v>79427.199999999997</v>
      </c>
    </row>
    <row r="191" spans="1:6" x14ac:dyDescent="0.45">
      <c r="A191" s="136" t="s">
        <v>232</v>
      </c>
      <c r="B191" s="137"/>
      <c r="C191" s="137"/>
      <c r="D191" s="137"/>
      <c r="E191" s="138">
        <f>2065.3</f>
        <v>2065.3000000000002</v>
      </c>
      <c r="F191" s="138">
        <f t="shared" si="3"/>
        <v>2065.3000000000002</v>
      </c>
    </row>
    <row r="192" spans="1:6" x14ac:dyDescent="0.45">
      <c r="A192" s="136" t="s">
        <v>233</v>
      </c>
      <c r="B192" s="138">
        <f>5595.61</f>
        <v>5595.61</v>
      </c>
      <c r="C192" s="137"/>
      <c r="D192" s="137"/>
      <c r="E192" s="137"/>
      <c r="F192" s="138">
        <f t="shared" si="3"/>
        <v>5595.61</v>
      </c>
    </row>
    <row r="193" spans="1:6" x14ac:dyDescent="0.45">
      <c r="A193" s="136" t="s">
        <v>234</v>
      </c>
      <c r="B193" s="139">
        <f>(((B189)+(B190))+(B191))+(B192)</f>
        <v>25452.41</v>
      </c>
      <c r="C193" s="139">
        <f>(((C189)+(C190))+(C191))+(C192)</f>
        <v>19856.8</v>
      </c>
      <c r="D193" s="139">
        <f>(((D189)+(D190))+(D191))+(D192)</f>
        <v>19856.8</v>
      </c>
      <c r="E193" s="139">
        <f>(((E189)+(E190))+(E191))+(E192)</f>
        <v>21922.1</v>
      </c>
      <c r="F193" s="139">
        <f t="shared" si="3"/>
        <v>87088.109999999986</v>
      </c>
    </row>
    <row r="194" spans="1:6" x14ac:dyDescent="0.45">
      <c r="A194" s="136" t="s">
        <v>235</v>
      </c>
      <c r="B194" s="137"/>
      <c r="C194" s="137"/>
      <c r="D194" s="137"/>
      <c r="E194" s="137"/>
      <c r="F194" s="138">
        <f t="shared" si="3"/>
        <v>0</v>
      </c>
    </row>
    <row r="195" spans="1:6" x14ac:dyDescent="0.45">
      <c r="A195" s="136" t="s">
        <v>236</v>
      </c>
      <c r="B195" s="138">
        <f>3839.03</f>
        <v>3839.03</v>
      </c>
      <c r="C195" s="138">
        <f>2492.71</f>
        <v>2492.71</v>
      </c>
      <c r="D195" s="138">
        <f>5149.44</f>
        <v>5149.4399999999996</v>
      </c>
      <c r="E195" s="138">
        <f>2185.48</f>
        <v>2185.48</v>
      </c>
      <c r="F195" s="138">
        <f t="shared" si="3"/>
        <v>13666.66</v>
      </c>
    </row>
    <row r="196" spans="1:6" x14ac:dyDescent="0.45">
      <c r="A196" s="136" t="s">
        <v>237</v>
      </c>
      <c r="B196" s="138">
        <f>2160</f>
        <v>2160</v>
      </c>
      <c r="C196" s="137"/>
      <c r="D196" s="137"/>
      <c r="E196" s="137"/>
      <c r="F196" s="138">
        <f t="shared" si="3"/>
        <v>2160</v>
      </c>
    </row>
    <row r="197" spans="1:6" x14ac:dyDescent="0.45">
      <c r="A197" s="136" t="s">
        <v>238</v>
      </c>
      <c r="B197" s="138">
        <f>83.85</f>
        <v>83.85</v>
      </c>
      <c r="C197" s="138">
        <f>83.85</f>
        <v>83.85</v>
      </c>
      <c r="D197" s="138">
        <f>89.06</f>
        <v>89.06</v>
      </c>
      <c r="E197" s="138">
        <f>89.06</f>
        <v>89.06</v>
      </c>
      <c r="F197" s="138">
        <f t="shared" si="3"/>
        <v>345.82</v>
      </c>
    </row>
    <row r="198" spans="1:6" x14ac:dyDescent="0.45">
      <c r="A198" s="136" t="s">
        <v>239</v>
      </c>
      <c r="B198" s="138">
        <f>1425.98</f>
        <v>1425.98</v>
      </c>
      <c r="C198" s="138">
        <f>2422.54</f>
        <v>2422.54</v>
      </c>
      <c r="D198" s="138">
        <f>3745.17</f>
        <v>3745.17</v>
      </c>
      <c r="E198" s="138">
        <f>2945.22</f>
        <v>2945.22</v>
      </c>
      <c r="F198" s="138">
        <f t="shared" si="3"/>
        <v>10538.91</v>
      </c>
    </row>
    <row r="199" spans="1:6" x14ac:dyDescent="0.45">
      <c r="A199" s="136" t="s">
        <v>240</v>
      </c>
      <c r="B199" s="137"/>
      <c r="C199" s="138">
        <f>754.25</f>
        <v>754.25</v>
      </c>
      <c r="D199" s="137"/>
      <c r="E199" s="137"/>
      <c r="F199" s="138">
        <f t="shared" si="3"/>
        <v>754.25</v>
      </c>
    </row>
    <row r="200" spans="1:6" x14ac:dyDescent="0.45">
      <c r="A200" s="136" t="s">
        <v>241</v>
      </c>
      <c r="B200" s="138">
        <f>2248.87</f>
        <v>2248.87</v>
      </c>
      <c r="C200" s="138">
        <f>2179.01</f>
        <v>2179.0100000000002</v>
      </c>
      <c r="D200" s="138">
        <f>1293.04</f>
        <v>1293.04</v>
      </c>
      <c r="E200" s="138">
        <f>743.87</f>
        <v>743.87</v>
      </c>
      <c r="F200" s="138">
        <f t="shared" si="3"/>
        <v>6464.79</v>
      </c>
    </row>
    <row r="201" spans="1:6" x14ac:dyDescent="0.45">
      <c r="A201" s="136" t="s">
        <v>242</v>
      </c>
      <c r="B201" s="139">
        <f>((((((B194)+(B195))+(B196))+(B197))+(B198))+(B199))+(B200)</f>
        <v>9757.73</v>
      </c>
      <c r="C201" s="139">
        <f>((((((C194)+(C195))+(C196))+(C197))+(C198))+(C199))+(C200)</f>
        <v>7932.3600000000006</v>
      </c>
      <c r="D201" s="139">
        <f>((((((D194)+(D195))+(D196))+(D197))+(D198))+(D199))+(D200)</f>
        <v>10276.709999999999</v>
      </c>
      <c r="E201" s="139">
        <f>((((((E194)+(E195))+(E196))+(E197))+(E198))+(E199))+(E200)</f>
        <v>5963.63</v>
      </c>
      <c r="F201" s="139">
        <f t="shared" si="3"/>
        <v>33930.43</v>
      </c>
    </row>
    <row r="202" spans="1:6" x14ac:dyDescent="0.45">
      <c r="A202" s="136" t="s">
        <v>243</v>
      </c>
      <c r="B202" s="137"/>
      <c r="C202" s="137"/>
      <c r="D202" s="137"/>
      <c r="E202" s="137"/>
      <c r="F202" s="138">
        <f t="shared" si="3"/>
        <v>0</v>
      </c>
    </row>
    <row r="203" spans="1:6" x14ac:dyDescent="0.45">
      <c r="A203" s="136" t="s">
        <v>244</v>
      </c>
      <c r="B203" s="138">
        <f>1075.26</f>
        <v>1075.26</v>
      </c>
      <c r="C203" s="138">
        <f>931.98</f>
        <v>931.98</v>
      </c>
      <c r="D203" s="138">
        <f>556.97</f>
        <v>556.97</v>
      </c>
      <c r="E203" s="138">
        <f>628.3</f>
        <v>628.29999999999995</v>
      </c>
      <c r="F203" s="138">
        <f t="shared" si="3"/>
        <v>3192.51</v>
      </c>
    </row>
    <row r="204" spans="1:6" x14ac:dyDescent="0.45">
      <c r="A204" s="136" t="s">
        <v>245</v>
      </c>
      <c r="B204" s="138">
        <f>1076.53</f>
        <v>1076.53</v>
      </c>
      <c r="C204" s="138">
        <f>568.55</f>
        <v>568.54999999999995</v>
      </c>
      <c r="D204" s="138">
        <f>448.8</f>
        <v>448.8</v>
      </c>
      <c r="E204" s="138">
        <f>2822</f>
        <v>2822</v>
      </c>
      <c r="F204" s="138">
        <f t="shared" si="3"/>
        <v>4915.88</v>
      </c>
    </row>
    <row r="205" spans="1:6" x14ac:dyDescent="0.45">
      <c r="A205" s="136" t="s">
        <v>246</v>
      </c>
      <c r="B205" s="138">
        <f>630.98</f>
        <v>630.98</v>
      </c>
      <c r="C205" s="138">
        <f>555.98</f>
        <v>555.98</v>
      </c>
      <c r="D205" s="138">
        <f>555.98</f>
        <v>555.98</v>
      </c>
      <c r="E205" s="138">
        <f>555.98</f>
        <v>555.98</v>
      </c>
      <c r="F205" s="138">
        <f t="shared" si="3"/>
        <v>2298.92</v>
      </c>
    </row>
    <row r="206" spans="1:6" x14ac:dyDescent="0.45">
      <c r="A206" s="136" t="s">
        <v>248</v>
      </c>
      <c r="B206" s="139">
        <f>(((B202)+(B203))+(B204))+(B205)</f>
        <v>2782.77</v>
      </c>
      <c r="C206" s="139">
        <f>(((C202)+(C203))+(C204))+(C205)</f>
        <v>2056.5100000000002</v>
      </c>
      <c r="D206" s="139">
        <f>(((D202)+(D203))+(D204))+(D205)</f>
        <v>1561.75</v>
      </c>
      <c r="E206" s="139">
        <f>(((E202)+(E203))+(E204))+(E205)</f>
        <v>4006.28</v>
      </c>
      <c r="F206" s="139">
        <f t="shared" si="3"/>
        <v>10407.310000000001</v>
      </c>
    </row>
    <row r="207" spans="1:6" x14ac:dyDescent="0.45">
      <c r="A207" s="136" t="s">
        <v>249</v>
      </c>
      <c r="B207" s="137"/>
      <c r="C207" s="137"/>
      <c r="D207" s="137"/>
      <c r="E207" s="137"/>
      <c r="F207" s="138">
        <f t="shared" si="3"/>
        <v>0</v>
      </c>
    </row>
    <row r="208" spans="1:6" x14ac:dyDescent="0.45">
      <c r="A208" s="136" t="s">
        <v>250</v>
      </c>
      <c r="B208" s="138">
        <f>39991.05</f>
        <v>39991.050000000003</v>
      </c>
      <c r="C208" s="138">
        <f>43700.58</f>
        <v>43700.58</v>
      </c>
      <c r="D208" s="138">
        <f>244677.5</f>
        <v>244677.5</v>
      </c>
      <c r="E208" s="138">
        <f>289548.5</f>
        <v>289548.5</v>
      </c>
      <c r="F208" s="138">
        <f t="shared" si="3"/>
        <v>617917.63</v>
      </c>
    </row>
    <row r="209" spans="1:6" x14ac:dyDescent="0.45">
      <c r="A209" s="136" t="s">
        <v>251</v>
      </c>
      <c r="B209" s="138">
        <f>2165.15</f>
        <v>2165.15</v>
      </c>
      <c r="C209" s="138">
        <f>2823.47</f>
        <v>2823.47</v>
      </c>
      <c r="D209" s="138">
        <f>2133.87</f>
        <v>2133.87</v>
      </c>
      <c r="E209" s="138">
        <f>861.59</f>
        <v>861.59</v>
      </c>
      <c r="F209" s="138">
        <f t="shared" si="3"/>
        <v>7984.08</v>
      </c>
    </row>
    <row r="210" spans="1:6" x14ac:dyDescent="0.45">
      <c r="A210" s="136" t="s">
        <v>252</v>
      </c>
      <c r="B210" s="138">
        <f>505.42</f>
        <v>505.42</v>
      </c>
      <c r="C210" s="138">
        <f>308.92</f>
        <v>308.92</v>
      </c>
      <c r="D210" s="138">
        <f>37999.21</f>
        <v>37999.21</v>
      </c>
      <c r="E210" s="138">
        <f>377.18</f>
        <v>377.18</v>
      </c>
      <c r="F210" s="138">
        <f t="shared" si="3"/>
        <v>39190.729999999996</v>
      </c>
    </row>
    <row r="211" spans="1:6" x14ac:dyDescent="0.45">
      <c r="A211" s="136" t="s">
        <v>253</v>
      </c>
      <c r="B211" s="139">
        <f>(((B207)+(B208))+(B209))+(B210)</f>
        <v>42661.62</v>
      </c>
      <c r="C211" s="139">
        <f>(((C207)+(C208))+(C209))+(C210)</f>
        <v>46832.97</v>
      </c>
      <c r="D211" s="139">
        <f>(((D207)+(D208))+(D209))+(D210)</f>
        <v>284810.58</v>
      </c>
      <c r="E211" s="139">
        <f>(((E207)+(E208))+(E209))+(E210)</f>
        <v>290787.27</v>
      </c>
      <c r="F211" s="139">
        <f t="shared" si="3"/>
        <v>665092.44000000006</v>
      </c>
    </row>
    <row r="212" spans="1:6" x14ac:dyDescent="0.45">
      <c r="A212" s="136" t="s">
        <v>254</v>
      </c>
      <c r="B212" s="138">
        <f>1738.19</f>
        <v>1738.19</v>
      </c>
      <c r="C212" s="138">
        <f>4619.41</f>
        <v>4619.41</v>
      </c>
      <c r="D212" s="138">
        <f>3448.27</f>
        <v>3448.27</v>
      </c>
      <c r="E212" s="138">
        <f>3999.35</f>
        <v>3999.35</v>
      </c>
      <c r="F212" s="138">
        <f t="shared" si="3"/>
        <v>13805.220000000001</v>
      </c>
    </row>
    <row r="213" spans="1:6" x14ac:dyDescent="0.45">
      <c r="A213" s="136" t="s">
        <v>255</v>
      </c>
      <c r="B213" s="137"/>
      <c r="C213" s="137"/>
      <c r="D213" s="137"/>
      <c r="E213" s="137"/>
      <c r="F213" s="138">
        <f t="shared" si="3"/>
        <v>0</v>
      </c>
    </row>
    <row r="214" spans="1:6" x14ac:dyDescent="0.45">
      <c r="A214" s="136" t="s">
        <v>256</v>
      </c>
      <c r="B214" s="138">
        <f>3101.65</f>
        <v>3101.65</v>
      </c>
      <c r="C214" s="138">
        <f>3106.81</f>
        <v>3106.81</v>
      </c>
      <c r="D214" s="138">
        <f>2933.31</f>
        <v>2933.31</v>
      </c>
      <c r="E214" s="138">
        <f>3165.04</f>
        <v>3165.04</v>
      </c>
      <c r="F214" s="138">
        <f t="shared" si="3"/>
        <v>12306.810000000001</v>
      </c>
    </row>
    <row r="215" spans="1:6" x14ac:dyDescent="0.45">
      <c r="A215" s="136" t="s">
        <v>301</v>
      </c>
      <c r="B215" s="137"/>
      <c r="C215" s="138">
        <f>43.54</f>
        <v>43.54</v>
      </c>
      <c r="D215" s="137"/>
      <c r="E215" s="137"/>
      <c r="F215" s="138">
        <f t="shared" si="3"/>
        <v>43.54</v>
      </c>
    </row>
    <row r="216" spans="1:6" x14ac:dyDescent="0.45">
      <c r="A216" s="136" t="s">
        <v>257</v>
      </c>
      <c r="B216" s="139">
        <f>((B213)+(B214))+(B215)</f>
        <v>3101.65</v>
      </c>
      <c r="C216" s="139">
        <f>((C213)+(C214))+(C215)</f>
        <v>3150.35</v>
      </c>
      <c r="D216" s="139">
        <f>((D213)+(D214))+(D215)</f>
        <v>2933.31</v>
      </c>
      <c r="E216" s="139">
        <f>((E213)+(E214))+(E215)</f>
        <v>3165.04</v>
      </c>
      <c r="F216" s="139">
        <f t="shared" si="3"/>
        <v>12350.349999999999</v>
      </c>
    </row>
    <row r="217" spans="1:6" x14ac:dyDescent="0.45">
      <c r="A217" s="136" t="s">
        <v>258</v>
      </c>
      <c r="B217" s="137"/>
      <c r="C217" s="137"/>
      <c r="D217" s="137"/>
      <c r="E217" s="137"/>
      <c r="F217" s="138">
        <f t="shared" si="3"/>
        <v>0</v>
      </c>
    </row>
    <row r="218" spans="1:6" x14ac:dyDescent="0.45">
      <c r="A218" s="136" t="s">
        <v>259</v>
      </c>
      <c r="B218" s="138">
        <f>360.92</f>
        <v>360.92</v>
      </c>
      <c r="C218" s="138">
        <f>73</f>
        <v>73</v>
      </c>
      <c r="D218" s="138">
        <f>104.4</f>
        <v>104.4</v>
      </c>
      <c r="E218" s="138">
        <f>219.52</f>
        <v>219.52</v>
      </c>
      <c r="F218" s="138">
        <f t="shared" si="3"/>
        <v>757.84</v>
      </c>
    </row>
    <row r="219" spans="1:6" x14ac:dyDescent="0.45">
      <c r="A219" s="136" t="s">
        <v>260</v>
      </c>
      <c r="B219" s="138">
        <f>791.13</f>
        <v>791.13</v>
      </c>
      <c r="C219" s="138">
        <f>375.4</f>
        <v>375.4</v>
      </c>
      <c r="D219" s="138">
        <f>719.09</f>
        <v>719.09</v>
      </c>
      <c r="E219" s="138">
        <f>415</f>
        <v>415</v>
      </c>
      <c r="F219" s="138">
        <f t="shared" si="3"/>
        <v>2300.62</v>
      </c>
    </row>
    <row r="220" spans="1:6" x14ac:dyDescent="0.45">
      <c r="A220" s="136" t="s">
        <v>261</v>
      </c>
      <c r="B220" s="139">
        <f>((B217)+(B218))+(B219)</f>
        <v>1152.05</v>
      </c>
      <c r="C220" s="139">
        <f>((C217)+(C218))+(C219)</f>
        <v>448.4</v>
      </c>
      <c r="D220" s="139">
        <f>((D217)+(D218))+(D219)</f>
        <v>823.49</v>
      </c>
      <c r="E220" s="139">
        <f>((E217)+(E218))+(E219)</f>
        <v>634.52</v>
      </c>
      <c r="F220" s="139">
        <f t="shared" si="3"/>
        <v>3058.4599999999996</v>
      </c>
    </row>
    <row r="221" spans="1:6" x14ac:dyDescent="0.45">
      <c r="A221" s="136" t="s">
        <v>262</v>
      </c>
      <c r="B221" s="137"/>
      <c r="C221" s="137"/>
      <c r="D221" s="137"/>
      <c r="E221" s="137"/>
      <c r="F221" s="138">
        <f t="shared" si="3"/>
        <v>0</v>
      </c>
    </row>
    <row r="222" spans="1:6" x14ac:dyDescent="0.45">
      <c r="A222" s="136" t="s">
        <v>438</v>
      </c>
      <c r="B222" s="137"/>
      <c r="C222" s="137"/>
      <c r="D222" s="137"/>
      <c r="E222" s="138">
        <f>50.32</f>
        <v>50.32</v>
      </c>
      <c r="F222" s="138">
        <f t="shared" si="3"/>
        <v>50.32</v>
      </c>
    </row>
    <row r="223" spans="1:6" x14ac:dyDescent="0.45">
      <c r="A223" s="136" t="s">
        <v>263</v>
      </c>
      <c r="B223" s="137"/>
      <c r="C223" s="137"/>
      <c r="D223" s="137"/>
      <c r="E223" s="137"/>
      <c r="F223" s="138">
        <f t="shared" si="3"/>
        <v>0</v>
      </c>
    </row>
    <row r="224" spans="1:6" x14ac:dyDescent="0.45">
      <c r="A224" s="136" t="s">
        <v>264</v>
      </c>
      <c r="B224" s="138">
        <f>2445</f>
        <v>2445</v>
      </c>
      <c r="C224" s="138">
        <f>4222</f>
        <v>4222</v>
      </c>
      <c r="D224" s="138">
        <f>19107.38</f>
        <v>19107.38</v>
      </c>
      <c r="E224" s="138">
        <f>8026.37</f>
        <v>8026.37</v>
      </c>
      <c r="F224" s="138">
        <f t="shared" si="3"/>
        <v>33800.75</v>
      </c>
    </row>
    <row r="225" spans="1:6" x14ac:dyDescent="0.45">
      <c r="A225" s="136" t="s">
        <v>265</v>
      </c>
      <c r="B225" s="139">
        <f>(B223)+(B224)</f>
        <v>2445</v>
      </c>
      <c r="C225" s="139">
        <f>(C223)+(C224)</f>
        <v>4222</v>
      </c>
      <c r="D225" s="139">
        <f>(D223)+(D224)</f>
        <v>19107.38</v>
      </c>
      <c r="E225" s="139">
        <f>(E223)+(E224)</f>
        <v>8026.37</v>
      </c>
      <c r="F225" s="139">
        <f t="shared" si="3"/>
        <v>33800.75</v>
      </c>
    </row>
    <row r="226" spans="1:6" x14ac:dyDescent="0.45">
      <c r="A226" s="136" t="s">
        <v>266</v>
      </c>
      <c r="B226" s="138">
        <f>1860.9</f>
        <v>1860.9</v>
      </c>
      <c r="C226" s="138">
        <f>994.13</f>
        <v>994.13</v>
      </c>
      <c r="D226" s="138">
        <f>489.14</f>
        <v>489.14</v>
      </c>
      <c r="E226" s="138">
        <f>878.18</f>
        <v>878.18</v>
      </c>
      <c r="F226" s="138">
        <f t="shared" si="3"/>
        <v>4222.3500000000004</v>
      </c>
    </row>
    <row r="227" spans="1:6" x14ac:dyDescent="0.45">
      <c r="A227" s="136" t="s">
        <v>268</v>
      </c>
      <c r="B227" s="139">
        <f>(((B221)+(B222))+(B225))+(B226)</f>
        <v>4305.8999999999996</v>
      </c>
      <c r="C227" s="139">
        <f>(((C221)+(C222))+(C225))+(C226)</f>
        <v>5216.13</v>
      </c>
      <c r="D227" s="139">
        <f>(((D221)+(D222))+(D225))+(D226)</f>
        <v>19596.52</v>
      </c>
      <c r="E227" s="139">
        <f>(((E221)+(E222))+(E225))+(E226)</f>
        <v>8954.869999999999</v>
      </c>
      <c r="F227" s="139">
        <f t="shared" si="3"/>
        <v>38073.42</v>
      </c>
    </row>
    <row r="228" spans="1:6" x14ac:dyDescent="0.45">
      <c r="A228" s="136" t="s">
        <v>269</v>
      </c>
      <c r="B228" s="137"/>
      <c r="C228" s="137"/>
      <c r="D228" s="137"/>
      <c r="E228" s="137"/>
      <c r="F228" s="138">
        <f t="shared" si="3"/>
        <v>0</v>
      </c>
    </row>
    <row r="229" spans="1:6" x14ac:dyDescent="0.45">
      <c r="A229" s="136" t="s">
        <v>302</v>
      </c>
      <c r="B229" s="137"/>
      <c r="C229" s="137"/>
      <c r="D229" s="137"/>
      <c r="E229" s="138">
        <f>260</f>
        <v>260</v>
      </c>
      <c r="F229" s="138">
        <f t="shared" si="3"/>
        <v>260</v>
      </c>
    </row>
    <row r="230" spans="1:6" x14ac:dyDescent="0.45">
      <c r="A230" s="136" t="s">
        <v>270</v>
      </c>
      <c r="B230" s="138">
        <f>4649.84</f>
        <v>4649.84</v>
      </c>
      <c r="C230" s="138">
        <f>637.64</f>
        <v>637.64</v>
      </c>
      <c r="D230" s="138">
        <f>241.64</f>
        <v>241.64</v>
      </c>
      <c r="E230" s="138">
        <f>536.64</f>
        <v>536.64</v>
      </c>
      <c r="F230" s="138">
        <f t="shared" si="3"/>
        <v>6065.7600000000011</v>
      </c>
    </row>
    <row r="231" spans="1:6" x14ac:dyDescent="0.45">
      <c r="A231" s="136" t="s">
        <v>271</v>
      </c>
      <c r="B231" s="138">
        <f>452.6</f>
        <v>452.6</v>
      </c>
      <c r="C231" s="138">
        <f>212.9</f>
        <v>212.9</v>
      </c>
      <c r="D231" s="138">
        <f>1295</f>
        <v>1295</v>
      </c>
      <c r="E231" s="138">
        <f>988.1</f>
        <v>988.1</v>
      </c>
      <c r="F231" s="138">
        <f t="shared" si="3"/>
        <v>2948.6</v>
      </c>
    </row>
    <row r="232" spans="1:6" x14ac:dyDescent="0.45">
      <c r="A232" s="136" t="s">
        <v>272</v>
      </c>
      <c r="B232" s="138">
        <f>1563.24</f>
        <v>1563.24</v>
      </c>
      <c r="C232" s="138">
        <f>2711.64</f>
        <v>2711.64</v>
      </c>
      <c r="D232" s="138">
        <f>2116.85</f>
        <v>2116.85</v>
      </c>
      <c r="E232" s="138">
        <f>2157.7</f>
        <v>2157.6999999999998</v>
      </c>
      <c r="F232" s="138">
        <f t="shared" si="3"/>
        <v>8549.43</v>
      </c>
    </row>
    <row r="233" spans="1:6" x14ac:dyDescent="0.45">
      <c r="A233" s="136" t="s">
        <v>273</v>
      </c>
      <c r="B233" s="138">
        <f>10</f>
        <v>10</v>
      </c>
      <c r="C233" s="138">
        <f>10</f>
        <v>10</v>
      </c>
      <c r="D233" s="138">
        <f>10</f>
        <v>10</v>
      </c>
      <c r="E233" s="138">
        <f>10</f>
        <v>10</v>
      </c>
      <c r="F233" s="138">
        <f t="shared" si="3"/>
        <v>40</v>
      </c>
    </row>
    <row r="234" spans="1:6" x14ac:dyDescent="0.45">
      <c r="A234" s="136" t="s">
        <v>274</v>
      </c>
      <c r="B234" s="138">
        <f>11761.71</f>
        <v>11761.71</v>
      </c>
      <c r="C234" s="138">
        <f>-12.98</f>
        <v>-12.98</v>
      </c>
      <c r="D234" s="138">
        <f>31.12</f>
        <v>31.12</v>
      </c>
      <c r="E234" s="138">
        <f>10987.62</f>
        <v>10987.62</v>
      </c>
      <c r="F234" s="138">
        <f t="shared" si="3"/>
        <v>22767.47</v>
      </c>
    </row>
    <row r="235" spans="1:6" x14ac:dyDescent="0.45">
      <c r="A235" s="136" t="s">
        <v>275</v>
      </c>
      <c r="B235" s="138">
        <f>13067.05</f>
        <v>13067.05</v>
      </c>
      <c r="C235" s="138">
        <f>12952.95</f>
        <v>12952.95</v>
      </c>
      <c r="D235" s="138">
        <f>12945.2</f>
        <v>12945.2</v>
      </c>
      <c r="E235" s="138">
        <f>13237.95</f>
        <v>13237.95</v>
      </c>
      <c r="F235" s="138">
        <f t="shared" si="3"/>
        <v>52203.149999999994</v>
      </c>
    </row>
    <row r="236" spans="1:6" x14ac:dyDescent="0.45">
      <c r="A236" s="136" t="s">
        <v>276</v>
      </c>
      <c r="B236" s="137"/>
      <c r="C236" s="138">
        <f>632.41</f>
        <v>632.41</v>
      </c>
      <c r="D236" s="138">
        <f>302.51</f>
        <v>302.51</v>
      </c>
      <c r="E236" s="138">
        <f>348.41</f>
        <v>348.41</v>
      </c>
      <c r="F236" s="138">
        <f t="shared" si="3"/>
        <v>1283.33</v>
      </c>
    </row>
    <row r="237" spans="1:6" x14ac:dyDescent="0.45">
      <c r="A237" s="136" t="s">
        <v>277</v>
      </c>
      <c r="B237" s="138">
        <f>3332.05</f>
        <v>3332.05</v>
      </c>
      <c r="C237" s="138">
        <f>566.5</f>
        <v>566.5</v>
      </c>
      <c r="D237" s="138">
        <f>283.25</f>
        <v>283.25</v>
      </c>
      <c r="E237" s="137"/>
      <c r="F237" s="138">
        <f t="shared" si="3"/>
        <v>4181.8</v>
      </c>
    </row>
    <row r="238" spans="1:6" x14ac:dyDescent="0.45">
      <c r="A238" s="136" t="s">
        <v>278</v>
      </c>
      <c r="B238" s="139">
        <f>(((((((((B228)+(B229))+(B230))+(B231))+(B232))+(B233))+(B234))+(B235))+(B236))+(B237)</f>
        <v>34836.49</v>
      </c>
      <c r="C238" s="139">
        <f>(((((((((C228)+(C229))+(C230))+(C231))+(C232))+(C233))+(C234))+(C235))+(C236))+(C237)</f>
        <v>17711.060000000001</v>
      </c>
      <c r="D238" s="139">
        <f>(((((((((D228)+(D229))+(D230))+(D231))+(D232))+(D233))+(D234))+(D235))+(D236))+(D237)</f>
        <v>17225.57</v>
      </c>
      <c r="E238" s="139">
        <f>(((((((((E228)+(E229))+(E230))+(E231))+(E232))+(E233))+(E234))+(E235))+(E236))+(E237)</f>
        <v>28526.420000000002</v>
      </c>
      <c r="F238" s="139">
        <f t="shared" si="3"/>
        <v>98299.54</v>
      </c>
    </row>
    <row r="239" spans="1:6" x14ac:dyDescent="0.45">
      <c r="A239" s="136" t="s">
        <v>279</v>
      </c>
      <c r="B239" s="137"/>
      <c r="C239" s="137"/>
      <c r="D239" s="137"/>
      <c r="E239" s="137"/>
      <c r="F239" s="138">
        <f t="shared" si="3"/>
        <v>0</v>
      </c>
    </row>
    <row r="240" spans="1:6" x14ac:dyDescent="0.45">
      <c r="A240" s="136" t="s">
        <v>280</v>
      </c>
      <c r="B240" s="138">
        <f>18246.41</f>
        <v>18246.41</v>
      </c>
      <c r="C240" s="137"/>
      <c r="D240" s="138">
        <f>1083.72</f>
        <v>1083.72</v>
      </c>
      <c r="E240" s="138">
        <f>-320.8</f>
        <v>-320.8</v>
      </c>
      <c r="F240" s="138">
        <f t="shared" si="3"/>
        <v>19009.330000000002</v>
      </c>
    </row>
    <row r="241" spans="1:6" x14ac:dyDescent="0.45">
      <c r="A241" s="136" t="s">
        <v>282</v>
      </c>
      <c r="B241" s="139">
        <f>(B239)+(B240)</f>
        <v>18246.41</v>
      </c>
      <c r="C241" s="139">
        <f>(C239)+(C240)</f>
        <v>0</v>
      </c>
      <c r="D241" s="139">
        <f>(D239)+(D240)</f>
        <v>1083.72</v>
      </c>
      <c r="E241" s="139">
        <f>(E239)+(E240)</f>
        <v>-320.8</v>
      </c>
      <c r="F241" s="139">
        <f t="shared" si="3"/>
        <v>19009.330000000002</v>
      </c>
    </row>
    <row r="242" spans="1:6" x14ac:dyDescent="0.45">
      <c r="A242" s="136" t="s">
        <v>283</v>
      </c>
      <c r="B242" s="139">
        <f>(((((((((((B149)+(B188))+(B193))+(B201))+(B206))+(B211))+(B212))+(B216))+(B220))+(B227))+(B238))+(B241)</f>
        <v>531672.14</v>
      </c>
      <c r="C242" s="139">
        <f>(((((((((((C149)+(C188))+(C193))+(C201))+(C206))+(C211))+(C212))+(C216))+(C220))+(C227))+(C238))+(C241)</f>
        <v>406139.12</v>
      </c>
      <c r="D242" s="139">
        <f>(((((((((((D149)+(D188))+(D193))+(D201))+(D206))+(D211))+(D212))+(D216))+(D220))+(D227))+(D238))+(D241)</f>
        <v>599900.17000000004</v>
      </c>
      <c r="E242" s="139">
        <f>(((((((((((E149)+(E188))+(E193))+(E201))+(E206))+(E211))+(E212))+(E216))+(E220))+(E227))+(E238))+(E241)</f>
        <v>631292.91</v>
      </c>
      <c r="F242" s="139">
        <f t="shared" ref="F242:F244" si="4">(((B242)+(C242))+(D242))+(E242)</f>
        <v>2169004.3400000003</v>
      </c>
    </row>
    <row r="243" spans="1:6" x14ac:dyDescent="0.45">
      <c r="A243" s="136" t="s">
        <v>284</v>
      </c>
      <c r="B243" s="139">
        <f>(B148)+(B242)</f>
        <v>1093522.2999999998</v>
      </c>
      <c r="C243" s="139">
        <f>(C148)+(C242)</f>
        <v>968517.75</v>
      </c>
      <c r="D243" s="139">
        <f>(D148)+(D242)</f>
        <v>1131937.7799999998</v>
      </c>
      <c r="E243" s="139">
        <f>(E148)+(E242)</f>
        <v>1202259.4300000002</v>
      </c>
      <c r="F243" s="139">
        <f t="shared" si="4"/>
        <v>4396237.26</v>
      </c>
    </row>
    <row r="244" spans="1:6" x14ac:dyDescent="0.45">
      <c r="A244" s="136" t="s">
        <v>285</v>
      </c>
      <c r="B244" s="139">
        <f>(B48)-(B243)</f>
        <v>-30033.799999999814</v>
      </c>
      <c r="C244" s="139">
        <f>(C48)-(C243)</f>
        <v>-284676.16000000003</v>
      </c>
      <c r="D244" s="139">
        <f>(D48)-(D243)</f>
        <v>-391356.66999999981</v>
      </c>
      <c r="E244" s="139">
        <f>(E48)-(E243)</f>
        <v>-144911.13000000012</v>
      </c>
      <c r="F244" s="139">
        <f t="shared" si="4"/>
        <v>-850977.75999999978</v>
      </c>
    </row>
    <row r="245" spans="1:6" x14ac:dyDescent="0.45">
      <c r="A245" s="136" t="s">
        <v>286</v>
      </c>
      <c r="B245" s="137"/>
      <c r="C245" s="137"/>
      <c r="D245" s="137"/>
      <c r="E245" s="137"/>
      <c r="F245" s="137"/>
    </row>
    <row r="246" spans="1:6" x14ac:dyDescent="0.45">
      <c r="A246" s="136" t="s">
        <v>287</v>
      </c>
      <c r="B246" s="137"/>
      <c r="C246" s="137"/>
      <c r="D246" s="137"/>
      <c r="E246" s="137"/>
      <c r="F246" s="138">
        <f t="shared" ref="F246:F255" si="5">(((B246)+(C246))+(D246))+(E246)</f>
        <v>0</v>
      </c>
    </row>
    <row r="247" spans="1:6" x14ac:dyDescent="0.45">
      <c r="A247" s="136" t="s">
        <v>288</v>
      </c>
      <c r="B247" s="137"/>
      <c r="C247" s="137"/>
      <c r="D247" s="138">
        <f>2565.34</f>
        <v>2565.34</v>
      </c>
      <c r="E247" s="137"/>
      <c r="F247" s="138">
        <f t="shared" si="5"/>
        <v>2565.34</v>
      </c>
    </row>
    <row r="248" spans="1:6" x14ac:dyDescent="0.45">
      <c r="A248" s="136" t="s">
        <v>289</v>
      </c>
      <c r="B248" s="138">
        <f>83205.47</f>
        <v>83205.47</v>
      </c>
      <c r="C248" s="138">
        <f>7858.91</f>
        <v>7858.91</v>
      </c>
      <c r="D248" s="138">
        <f>96336.17</f>
        <v>96336.17</v>
      </c>
      <c r="E248" s="138">
        <f>6301.48</f>
        <v>6301.48</v>
      </c>
      <c r="F248" s="138">
        <f t="shared" si="5"/>
        <v>193702.03</v>
      </c>
    </row>
    <row r="249" spans="1:6" x14ac:dyDescent="0.45">
      <c r="A249" s="136" t="s">
        <v>290</v>
      </c>
      <c r="B249" s="138">
        <f>10654.12</f>
        <v>10654.12</v>
      </c>
      <c r="C249" s="138">
        <f>-92.81</f>
        <v>-92.81</v>
      </c>
      <c r="D249" s="138">
        <f>6585.5</f>
        <v>6585.5</v>
      </c>
      <c r="E249" s="138">
        <f>16374.28</f>
        <v>16374.28</v>
      </c>
      <c r="F249" s="138">
        <f t="shared" si="5"/>
        <v>33521.090000000004</v>
      </c>
    </row>
    <row r="250" spans="1:6" x14ac:dyDescent="0.45">
      <c r="A250" s="136" t="s">
        <v>303</v>
      </c>
      <c r="B250" s="138">
        <f>82963.36</f>
        <v>82963.360000000001</v>
      </c>
      <c r="C250" s="138">
        <f>3006.15</f>
        <v>3006.15</v>
      </c>
      <c r="D250" s="138">
        <f>-137389.65</f>
        <v>-137389.65</v>
      </c>
      <c r="E250" s="138">
        <f>3193.66</f>
        <v>3193.66</v>
      </c>
      <c r="F250" s="138">
        <f t="shared" si="5"/>
        <v>-48226.479999999996</v>
      </c>
    </row>
    <row r="251" spans="1:6" x14ac:dyDescent="0.45">
      <c r="A251" s="136" t="s">
        <v>291</v>
      </c>
      <c r="B251" s="139">
        <f>((((B246)+(B247))+(B248))+(B249))+(B250)</f>
        <v>176822.95</v>
      </c>
      <c r="C251" s="139">
        <f>((((C246)+(C247))+(C248))+(C249))+(C250)</f>
        <v>10772.25</v>
      </c>
      <c r="D251" s="139">
        <f>((((D246)+(D247))+(D248))+(D249))+(D250)</f>
        <v>-31902.639999999999</v>
      </c>
      <c r="E251" s="139">
        <f>((((E246)+(E247))+(E248))+(E249))+(E250)</f>
        <v>25869.420000000002</v>
      </c>
      <c r="F251" s="139">
        <f t="shared" si="5"/>
        <v>181561.98</v>
      </c>
    </row>
    <row r="252" spans="1:6" x14ac:dyDescent="0.45">
      <c r="A252" s="136" t="s">
        <v>292</v>
      </c>
      <c r="B252" s="137"/>
      <c r="C252" s="137"/>
      <c r="D252" s="138">
        <f>-241.56</f>
        <v>-241.56</v>
      </c>
      <c r="E252" s="138">
        <f>-94.49</f>
        <v>-94.49</v>
      </c>
      <c r="F252" s="138">
        <f t="shared" si="5"/>
        <v>-336.05</v>
      </c>
    </row>
    <row r="253" spans="1:6" x14ac:dyDescent="0.45">
      <c r="A253" s="136" t="s">
        <v>293</v>
      </c>
      <c r="B253" s="139">
        <f>(B251)+(B252)</f>
        <v>176822.95</v>
      </c>
      <c r="C253" s="139">
        <f>(C251)+(C252)</f>
        <v>10772.25</v>
      </c>
      <c r="D253" s="139">
        <f>(D251)+(D252)</f>
        <v>-32144.2</v>
      </c>
      <c r="E253" s="139">
        <f>(E251)+(E252)</f>
        <v>25774.93</v>
      </c>
      <c r="F253" s="139">
        <f t="shared" si="5"/>
        <v>181225.93</v>
      </c>
    </row>
    <row r="254" spans="1:6" x14ac:dyDescent="0.45">
      <c r="A254" s="136" t="s">
        <v>294</v>
      </c>
      <c r="B254" s="139">
        <f>(B253)-(0)</f>
        <v>176822.95</v>
      </c>
      <c r="C254" s="139">
        <f>(C253)-(0)</f>
        <v>10772.25</v>
      </c>
      <c r="D254" s="139">
        <f>(D253)-(0)</f>
        <v>-32144.2</v>
      </c>
      <c r="E254" s="139">
        <f>(E253)-(0)</f>
        <v>25774.93</v>
      </c>
      <c r="F254" s="139">
        <f t="shared" si="5"/>
        <v>181225.93</v>
      </c>
    </row>
    <row r="255" spans="1:6" x14ac:dyDescent="0.45">
      <c r="A255" s="136" t="s">
        <v>295</v>
      </c>
      <c r="B255" s="139">
        <f>(B244)+(B254)</f>
        <v>146789.1500000002</v>
      </c>
      <c r="C255" s="139">
        <f>(C244)+(C254)</f>
        <v>-273903.91000000003</v>
      </c>
      <c r="D255" s="139">
        <f>(D244)+(D254)</f>
        <v>-423500.86999999982</v>
      </c>
      <c r="E255" s="139">
        <f>(E244)+(E254)</f>
        <v>-119136.20000000013</v>
      </c>
      <c r="F255" s="139">
        <f t="shared" si="5"/>
        <v>-669751.82999999984</v>
      </c>
    </row>
    <row r="256" spans="1:6" x14ac:dyDescent="0.45">
      <c r="A256" s="136"/>
      <c r="B256" s="137"/>
      <c r="C256" s="137"/>
      <c r="D256" s="137"/>
      <c r="E256" s="137"/>
      <c r="F256" s="137"/>
    </row>
    <row r="259" spans="1:6" x14ac:dyDescent="0.45">
      <c r="A259" s="153" t="s">
        <v>496</v>
      </c>
      <c r="B259" s="154"/>
      <c r="C259" s="154"/>
      <c r="D259" s="154"/>
      <c r="E259" s="154"/>
      <c r="F259" s="154"/>
    </row>
  </sheetData>
  <mergeCells count="4">
    <mergeCell ref="A259:F259"/>
    <mergeCell ref="A1:F1"/>
    <mergeCell ref="A2:F2"/>
    <mergeCell ref="A3:F3"/>
  </mergeCells>
  <pageMargins left="0.25" right="0.25" top="0.75" bottom="0.75" header="0.3" footer="0.3"/>
  <pageSetup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8071A-AF7E-4D84-8A78-25BEF3FA6860}">
  <dimension ref="A1:E275"/>
  <sheetViews>
    <sheetView workbookViewId="0">
      <selection sqref="A1:XFD1048576"/>
    </sheetView>
  </sheetViews>
  <sheetFormatPr defaultColWidth="9.1328125" defaultRowHeight="14.25" x14ac:dyDescent="0.45"/>
  <cols>
    <col min="1" max="1" width="44.1328125" style="142" customWidth="1"/>
    <col min="2" max="4" width="12" style="142" customWidth="1"/>
    <col min="5" max="5" width="11.1328125" style="142" customWidth="1"/>
    <col min="6" max="16384" width="9.1328125" style="142"/>
  </cols>
  <sheetData>
    <row r="1" spans="1:5" ht="17.649999999999999" x14ac:dyDescent="0.5">
      <c r="A1" s="155" t="s">
        <v>61</v>
      </c>
      <c r="B1" s="154"/>
      <c r="C1" s="154"/>
      <c r="D1" s="154"/>
      <c r="E1" s="154"/>
    </row>
    <row r="2" spans="1:5" ht="17.649999999999999" x14ac:dyDescent="0.5">
      <c r="A2" s="155" t="s">
        <v>296</v>
      </c>
      <c r="B2" s="154"/>
      <c r="C2" s="154"/>
      <c r="D2" s="154"/>
      <c r="E2" s="154"/>
    </row>
    <row r="3" spans="1:5" x14ac:dyDescent="0.45">
      <c r="A3" s="156" t="s">
        <v>483</v>
      </c>
      <c r="B3" s="154"/>
      <c r="C3" s="154"/>
      <c r="D3" s="154"/>
      <c r="E3" s="154"/>
    </row>
    <row r="5" spans="1:5" x14ac:dyDescent="0.45">
      <c r="A5" s="143"/>
      <c r="B5" s="157" t="s">
        <v>62</v>
      </c>
      <c r="C5" s="158"/>
      <c r="D5" s="158"/>
      <c r="E5" s="158"/>
    </row>
    <row r="6" spans="1:5" ht="24" x14ac:dyDescent="0.45">
      <c r="A6" s="143"/>
      <c r="B6" s="144" t="s">
        <v>488</v>
      </c>
      <c r="C6" s="144" t="s">
        <v>489</v>
      </c>
      <c r="D6" s="144" t="s">
        <v>297</v>
      </c>
      <c r="E6" s="144" t="s">
        <v>298</v>
      </c>
    </row>
    <row r="7" spans="1:5" x14ac:dyDescent="0.45">
      <c r="A7" s="136" t="s">
        <v>63</v>
      </c>
      <c r="B7" s="137"/>
      <c r="C7" s="137"/>
      <c r="D7" s="137"/>
      <c r="E7" s="137"/>
    </row>
    <row r="8" spans="1:5" x14ac:dyDescent="0.45">
      <c r="A8" s="136" t="s">
        <v>64</v>
      </c>
      <c r="B8" s="137"/>
      <c r="C8" s="137"/>
      <c r="D8" s="138">
        <f t="shared" ref="D8:D54" si="0">(B8)-(C8)</f>
        <v>0</v>
      </c>
      <c r="E8" s="140" t="str">
        <f t="shared" ref="E8:E54" si="1">IF(ABS((C8))=0,"",((B8)-(C8))/(ABS((C8))))</f>
        <v/>
      </c>
    </row>
    <row r="9" spans="1:5" x14ac:dyDescent="0.45">
      <c r="A9" s="136" t="s">
        <v>65</v>
      </c>
      <c r="B9" s="137"/>
      <c r="C9" s="137"/>
      <c r="D9" s="138">
        <f t="shared" si="0"/>
        <v>0</v>
      </c>
      <c r="E9" s="140" t="str">
        <f t="shared" si="1"/>
        <v/>
      </c>
    </row>
    <row r="10" spans="1:5" x14ac:dyDescent="0.45">
      <c r="A10" s="136" t="s">
        <v>66</v>
      </c>
      <c r="B10" s="138">
        <f>263263.13</f>
        <v>263263.13</v>
      </c>
      <c r="C10" s="138">
        <f>336079.92</f>
        <v>336079.92</v>
      </c>
      <c r="D10" s="138">
        <f t="shared" si="0"/>
        <v>-72816.789999999979</v>
      </c>
      <c r="E10" s="140">
        <f t="shared" si="1"/>
        <v>-0.21666510156274729</v>
      </c>
    </row>
    <row r="11" spans="1:5" x14ac:dyDescent="0.45">
      <c r="A11" s="136" t="s">
        <v>67</v>
      </c>
      <c r="B11" s="137"/>
      <c r="C11" s="138">
        <f>-885</f>
        <v>-885</v>
      </c>
      <c r="D11" s="138">
        <f t="shared" si="0"/>
        <v>885</v>
      </c>
      <c r="E11" s="140">
        <f t="shared" si="1"/>
        <v>1</v>
      </c>
    </row>
    <row r="12" spans="1:5" x14ac:dyDescent="0.45">
      <c r="A12" s="136" t="s">
        <v>68</v>
      </c>
      <c r="B12" s="139">
        <f>((B9)+(B10))+(B11)</f>
        <v>263263.13</v>
      </c>
      <c r="C12" s="139">
        <f>((C9)+(C10))+(C11)</f>
        <v>335194.92</v>
      </c>
      <c r="D12" s="139">
        <f t="shared" si="0"/>
        <v>-71931.789999999979</v>
      </c>
      <c r="E12" s="141">
        <f t="shared" si="1"/>
        <v>-0.21459689782888114</v>
      </c>
    </row>
    <row r="13" spans="1:5" x14ac:dyDescent="0.45">
      <c r="A13" s="136" t="s">
        <v>69</v>
      </c>
      <c r="B13" s="137"/>
      <c r="C13" s="138">
        <f>81134</f>
        <v>81134</v>
      </c>
      <c r="D13" s="138">
        <f t="shared" si="0"/>
        <v>-81134</v>
      </c>
      <c r="E13" s="140">
        <f t="shared" si="1"/>
        <v>-1</v>
      </c>
    </row>
    <row r="14" spans="1:5" x14ac:dyDescent="0.45">
      <c r="A14" s="136" t="s">
        <v>70</v>
      </c>
      <c r="B14" s="138">
        <f>248250</f>
        <v>248250</v>
      </c>
      <c r="C14" s="138">
        <f>339000</f>
        <v>339000</v>
      </c>
      <c r="D14" s="138">
        <f t="shared" si="0"/>
        <v>-90750</v>
      </c>
      <c r="E14" s="140">
        <f t="shared" si="1"/>
        <v>-0.26769911504424782</v>
      </c>
    </row>
    <row r="15" spans="1:5" x14ac:dyDescent="0.45">
      <c r="A15" s="136" t="s">
        <v>484</v>
      </c>
      <c r="B15" s="138">
        <f>10000</f>
        <v>10000</v>
      </c>
      <c r="C15" s="138">
        <f>92250</f>
        <v>92250</v>
      </c>
      <c r="D15" s="138">
        <f t="shared" si="0"/>
        <v>-82250</v>
      </c>
      <c r="E15" s="140">
        <f t="shared" si="1"/>
        <v>-0.89159891598915986</v>
      </c>
    </row>
    <row r="16" spans="1:5" x14ac:dyDescent="0.45">
      <c r="A16" s="136" t="s">
        <v>71</v>
      </c>
      <c r="B16" s="138">
        <f>89008</f>
        <v>89008</v>
      </c>
      <c r="C16" s="138">
        <f>30740</f>
        <v>30740</v>
      </c>
      <c r="D16" s="138">
        <f t="shared" si="0"/>
        <v>58268</v>
      </c>
      <c r="E16" s="140">
        <f t="shared" si="1"/>
        <v>1.8955107351984386</v>
      </c>
    </row>
    <row r="17" spans="1:5" x14ac:dyDescent="0.45">
      <c r="A17" s="136" t="s">
        <v>72</v>
      </c>
      <c r="B17" s="138">
        <f>14130</f>
        <v>14130</v>
      </c>
      <c r="C17" s="138">
        <f>20800</f>
        <v>20800</v>
      </c>
      <c r="D17" s="138">
        <f t="shared" si="0"/>
        <v>-6670</v>
      </c>
      <c r="E17" s="140">
        <f t="shared" si="1"/>
        <v>-0.32067307692307695</v>
      </c>
    </row>
    <row r="18" spans="1:5" x14ac:dyDescent="0.45">
      <c r="A18" s="136" t="s">
        <v>73</v>
      </c>
      <c r="B18" s="137"/>
      <c r="C18" s="137"/>
      <c r="D18" s="138">
        <f t="shared" si="0"/>
        <v>0</v>
      </c>
      <c r="E18" s="140" t="str">
        <f t="shared" si="1"/>
        <v/>
      </c>
    </row>
    <row r="19" spans="1:5" x14ac:dyDescent="0.45">
      <c r="A19" s="136" t="s">
        <v>74</v>
      </c>
      <c r="B19" s="138">
        <f>17511.42</f>
        <v>17511.419999999998</v>
      </c>
      <c r="C19" s="138">
        <f>8270.46</f>
        <v>8270.4599999999991</v>
      </c>
      <c r="D19" s="138">
        <f t="shared" si="0"/>
        <v>9240.9599999999991</v>
      </c>
      <c r="E19" s="140">
        <f t="shared" si="1"/>
        <v>1.1173453471753687</v>
      </c>
    </row>
    <row r="20" spans="1:5" x14ac:dyDescent="0.45">
      <c r="A20" s="136" t="s">
        <v>75</v>
      </c>
      <c r="B20" s="138">
        <f>2965.46</f>
        <v>2965.46</v>
      </c>
      <c r="C20" s="138">
        <f>2500</f>
        <v>2500</v>
      </c>
      <c r="D20" s="138">
        <f t="shared" si="0"/>
        <v>465.46000000000004</v>
      </c>
      <c r="E20" s="140">
        <f t="shared" si="1"/>
        <v>0.18618400000000002</v>
      </c>
    </row>
    <row r="21" spans="1:5" x14ac:dyDescent="0.45">
      <c r="A21" s="136" t="s">
        <v>76</v>
      </c>
      <c r="B21" s="139">
        <f>((B18)+(B19))+(B20)</f>
        <v>20476.879999999997</v>
      </c>
      <c r="C21" s="139">
        <f>((C18)+(C19))+(C20)</f>
        <v>10770.46</v>
      </c>
      <c r="D21" s="139">
        <f t="shared" si="0"/>
        <v>9706.4199999999983</v>
      </c>
      <c r="E21" s="141">
        <f t="shared" si="1"/>
        <v>0.90120756216540421</v>
      </c>
    </row>
    <row r="22" spans="1:5" x14ac:dyDescent="0.45">
      <c r="A22" s="136" t="s">
        <v>77</v>
      </c>
      <c r="B22" s="137"/>
      <c r="C22" s="137"/>
      <c r="D22" s="138">
        <f t="shared" si="0"/>
        <v>0</v>
      </c>
      <c r="E22" s="140" t="str">
        <f t="shared" si="1"/>
        <v/>
      </c>
    </row>
    <row r="23" spans="1:5" x14ac:dyDescent="0.45">
      <c r="A23" s="136" t="s">
        <v>477</v>
      </c>
      <c r="B23" s="138">
        <f>68717.37</f>
        <v>68717.37</v>
      </c>
      <c r="C23" s="138">
        <f>92637.7</f>
        <v>92637.7</v>
      </c>
      <c r="D23" s="138">
        <f t="shared" si="0"/>
        <v>-23920.33</v>
      </c>
      <c r="E23" s="140">
        <f t="shared" si="1"/>
        <v>-0.25821377257855066</v>
      </c>
    </row>
    <row r="24" spans="1:5" x14ac:dyDescent="0.45">
      <c r="A24" s="136" t="s">
        <v>78</v>
      </c>
      <c r="B24" s="138">
        <f>980525.54</f>
        <v>980525.54</v>
      </c>
      <c r="C24" s="138">
        <f>1081362.09</f>
        <v>1081362.0900000001</v>
      </c>
      <c r="D24" s="138">
        <f t="shared" si="0"/>
        <v>-100836.55000000005</v>
      </c>
      <c r="E24" s="140">
        <f t="shared" si="1"/>
        <v>-9.3249570086186437E-2</v>
      </c>
    </row>
    <row r="25" spans="1:5" x14ac:dyDescent="0.45">
      <c r="A25" s="136" t="s">
        <v>299</v>
      </c>
      <c r="B25" s="138">
        <f>835000</f>
        <v>835000</v>
      </c>
      <c r="C25" s="137"/>
      <c r="D25" s="138">
        <f t="shared" si="0"/>
        <v>835000</v>
      </c>
      <c r="E25" s="140" t="str">
        <f t="shared" si="1"/>
        <v/>
      </c>
    </row>
    <row r="26" spans="1:5" x14ac:dyDescent="0.45">
      <c r="A26" s="136" t="s">
        <v>79</v>
      </c>
      <c r="B26" s="138">
        <f>808503.29</f>
        <v>808503.29</v>
      </c>
      <c r="C26" s="138">
        <f>356160.32</f>
        <v>356160.32</v>
      </c>
      <c r="D26" s="138">
        <f t="shared" si="0"/>
        <v>452342.97000000003</v>
      </c>
      <c r="E26" s="140">
        <f t="shared" si="1"/>
        <v>1.2700543676510623</v>
      </c>
    </row>
    <row r="27" spans="1:5" x14ac:dyDescent="0.45">
      <c r="A27" s="136" t="s">
        <v>80</v>
      </c>
      <c r="B27" s="139">
        <f>((((B22)+(B23))+(B24))+(B25))+(B26)</f>
        <v>2692746.2</v>
      </c>
      <c r="C27" s="139">
        <f>((((C22)+(C23))+(C24))+(C25))+(C26)</f>
        <v>1530160.11</v>
      </c>
      <c r="D27" s="139">
        <f t="shared" si="0"/>
        <v>1162586.0900000001</v>
      </c>
      <c r="E27" s="141">
        <f t="shared" si="1"/>
        <v>0.75978068072889449</v>
      </c>
    </row>
    <row r="28" spans="1:5" x14ac:dyDescent="0.45">
      <c r="A28" s="136" t="s">
        <v>81</v>
      </c>
      <c r="B28" s="139">
        <f>((((((((B8)+(B12))+(B13))+(B14))+(B15))+(B16))+(B17))+(B21))+(B27)</f>
        <v>3337874.21</v>
      </c>
      <c r="C28" s="139">
        <f>((((((((C8)+(C12))+(C13))+(C14))+(C15))+(C16))+(C17))+(C21))+(C27)</f>
        <v>2440049.4900000002</v>
      </c>
      <c r="D28" s="139">
        <f t="shared" si="0"/>
        <v>897824.71999999974</v>
      </c>
      <c r="E28" s="141">
        <f t="shared" si="1"/>
        <v>0.36795348769749736</v>
      </c>
    </row>
    <row r="29" spans="1:5" x14ac:dyDescent="0.45">
      <c r="A29" s="136" t="s">
        <v>82</v>
      </c>
      <c r="B29" s="137"/>
      <c r="C29" s="137"/>
      <c r="D29" s="138">
        <f t="shared" si="0"/>
        <v>0</v>
      </c>
      <c r="E29" s="140" t="str">
        <f t="shared" si="1"/>
        <v/>
      </c>
    </row>
    <row r="30" spans="1:5" x14ac:dyDescent="0.45">
      <c r="A30" s="136" t="s">
        <v>83</v>
      </c>
      <c r="B30" s="137"/>
      <c r="C30" s="137"/>
      <c r="D30" s="138">
        <f t="shared" si="0"/>
        <v>0</v>
      </c>
      <c r="E30" s="140" t="str">
        <f t="shared" si="1"/>
        <v/>
      </c>
    </row>
    <row r="31" spans="1:5" x14ac:dyDescent="0.45">
      <c r="A31" s="136" t="s">
        <v>84</v>
      </c>
      <c r="B31" s="138">
        <f>3530</f>
        <v>3530</v>
      </c>
      <c r="C31" s="138">
        <f>12633</f>
        <v>12633</v>
      </c>
      <c r="D31" s="138">
        <f t="shared" si="0"/>
        <v>-9103</v>
      </c>
      <c r="E31" s="140">
        <f t="shared" si="1"/>
        <v>-0.72057310219267001</v>
      </c>
    </row>
    <row r="32" spans="1:5" x14ac:dyDescent="0.45">
      <c r="A32" s="136" t="s">
        <v>85</v>
      </c>
      <c r="B32" s="137"/>
      <c r="C32" s="138">
        <f>250</f>
        <v>250</v>
      </c>
      <c r="D32" s="138">
        <f t="shared" si="0"/>
        <v>-250</v>
      </c>
      <c r="E32" s="140">
        <f t="shared" si="1"/>
        <v>-1</v>
      </c>
    </row>
    <row r="33" spans="1:5" x14ac:dyDescent="0.45">
      <c r="A33" s="136" t="s">
        <v>86</v>
      </c>
      <c r="B33" s="139">
        <f>(B31)+(B32)</f>
        <v>3530</v>
      </c>
      <c r="C33" s="139">
        <f>(C31)+(C32)</f>
        <v>12883</v>
      </c>
      <c r="D33" s="139">
        <f t="shared" si="0"/>
        <v>-9353</v>
      </c>
      <c r="E33" s="141">
        <f t="shared" si="1"/>
        <v>-0.72599549794302565</v>
      </c>
    </row>
    <row r="34" spans="1:5" x14ac:dyDescent="0.45">
      <c r="A34" s="136" t="s">
        <v>87</v>
      </c>
      <c r="B34" s="138">
        <f>1235</f>
        <v>1235</v>
      </c>
      <c r="C34" s="138">
        <f>975</f>
        <v>975</v>
      </c>
      <c r="D34" s="138">
        <f t="shared" si="0"/>
        <v>260</v>
      </c>
      <c r="E34" s="140">
        <f t="shared" si="1"/>
        <v>0.26666666666666666</v>
      </c>
    </row>
    <row r="35" spans="1:5" x14ac:dyDescent="0.45">
      <c r="A35" s="136" t="s">
        <v>469</v>
      </c>
      <c r="B35" s="138">
        <f>1035</f>
        <v>1035</v>
      </c>
      <c r="C35" s="137"/>
      <c r="D35" s="138">
        <f t="shared" si="0"/>
        <v>1035</v>
      </c>
      <c r="E35" s="140" t="str">
        <f t="shared" si="1"/>
        <v/>
      </c>
    </row>
    <row r="36" spans="1:5" x14ac:dyDescent="0.45">
      <c r="A36" s="136" t="s">
        <v>467</v>
      </c>
      <c r="B36" s="138">
        <f>2110</f>
        <v>2110</v>
      </c>
      <c r="C36" s="137"/>
      <c r="D36" s="138">
        <f t="shared" si="0"/>
        <v>2110</v>
      </c>
      <c r="E36" s="140" t="str">
        <f t="shared" si="1"/>
        <v/>
      </c>
    </row>
    <row r="37" spans="1:5" x14ac:dyDescent="0.45">
      <c r="A37" s="136" t="s">
        <v>88</v>
      </c>
      <c r="B37" s="139">
        <f>((((B30)+(B33))+(B34))+(B35))+(B36)</f>
        <v>7910</v>
      </c>
      <c r="C37" s="139">
        <f>((((C30)+(C33))+(C34))+(C35))+(C36)</f>
        <v>13858</v>
      </c>
      <c r="D37" s="139">
        <f t="shared" si="0"/>
        <v>-5948</v>
      </c>
      <c r="E37" s="141">
        <f t="shared" si="1"/>
        <v>-0.42921056429499205</v>
      </c>
    </row>
    <row r="38" spans="1:5" x14ac:dyDescent="0.45">
      <c r="A38" s="136" t="s">
        <v>89</v>
      </c>
      <c r="B38" s="137"/>
      <c r="C38" s="137"/>
      <c r="D38" s="138">
        <f t="shared" si="0"/>
        <v>0</v>
      </c>
      <c r="E38" s="140" t="str">
        <f t="shared" si="1"/>
        <v/>
      </c>
    </row>
    <row r="39" spans="1:5" x14ac:dyDescent="0.45">
      <c r="A39" s="136" t="s">
        <v>90</v>
      </c>
      <c r="B39" s="137"/>
      <c r="C39" s="137"/>
      <c r="D39" s="138">
        <f t="shared" si="0"/>
        <v>0</v>
      </c>
      <c r="E39" s="140" t="str">
        <f t="shared" si="1"/>
        <v/>
      </c>
    </row>
    <row r="40" spans="1:5" x14ac:dyDescent="0.45">
      <c r="A40" s="136" t="s">
        <v>91</v>
      </c>
      <c r="B40" s="138">
        <f>140625.66</f>
        <v>140625.66</v>
      </c>
      <c r="C40" s="138">
        <f>218468.32</f>
        <v>218468.32</v>
      </c>
      <c r="D40" s="138">
        <f t="shared" si="0"/>
        <v>-77842.66</v>
      </c>
      <c r="E40" s="140">
        <f t="shared" si="1"/>
        <v>-0.35631097451566435</v>
      </c>
    </row>
    <row r="41" spans="1:5" x14ac:dyDescent="0.45">
      <c r="A41" s="136" t="s">
        <v>92</v>
      </c>
      <c r="B41" s="138">
        <f>10750</f>
        <v>10750</v>
      </c>
      <c r="C41" s="138">
        <f>49200</f>
        <v>49200</v>
      </c>
      <c r="D41" s="138">
        <f t="shared" si="0"/>
        <v>-38450</v>
      </c>
      <c r="E41" s="140">
        <f t="shared" si="1"/>
        <v>-0.7815040650406504</v>
      </c>
    </row>
    <row r="42" spans="1:5" x14ac:dyDescent="0.45">
      <c r="A42" s="136" t="s">
        <v>93</v>
      </c>
      <c r="B42" s="138">
        <f>42270</f>
        <v>42270</v>
      </c>
      <c r="C42" s="138">
        <f>43695</f>
        <v>43695</v>
      </c>
      <c r="D42" s="138">
        <f t="shared" si="0"/>
        <v>-1425</v>
      </c>
      <c r="E42" s="140">
        <f t="shared" si="1"/>
        <v>-3.2612427051150014E-2</v>
      </c>
    </row>
    <row r="43" spans="1:5" x14ac:dyDescent="0.45">
      <c r="A43" s="136" t="s">
        <v>94</v>
      </c>
      <c r="B43" s="137"/>
      <c r="C43" s="138">
        <f>8250</f>
        <v>8250</v>
      </c>
      <c r="D43" s="138">
        <f t="shared" si="0"/>
        <v>-8250</v>
      </c>
      <c r="E43" s="140">
        <f t="shared" si="1"/>
        <v>-1</v>
      </c>
    </row>
    <row r="44" spans="1:5" x14ac:dyDescent="0.45">
      <c r="A44" s="136" t="s">
        <v>95</v>
      </c>
      <c r="B44" s="139">
        <f>((((B39)+(B40))+(B41))+(B42))+(B43)</f>
        <v>193645.66</v>
      </c>
      <c r="C44" s="139">
        <f>((((C39)+(C40))+(C41))+(C42))+(C43)</f>
        <v>319613.32</v>
      </c>
      <c r="D44" s="139">
        <f t="shared" si="0"/>
        <v>-125967.66</v>
      </c>
      <c r="E44" s="141">
        <f t="shared" si="1"/>
        <v>-0.39412518852468353</v>
      </c>
    </row>
    <row r="45" spans="1:5" x14ac:dyDescent="0.45">
      <c r="A45" s="136" t="s">
        <v>96</v>
      </c>
      <c r="B45" s="139">
        <f>(B38)+(B44)</f>
        <v>193645.66</v>
      </c>
      <c r="C45" s="139">
        <f>(C38)+(C44)</f>
        <v>319613.32</v>
      </c>
      <c r="D45" s="139">
        <f t="shared" si="0"/>
        <v>-125967.66</v>
      </c>
      <c r="E45" s="141">
        <f t="shared" si="1"/>
        <v>-0.39412518852468353</v>
      </c>
    </row>
    <row r="46" spans="1:5" x14ac:dyDescent="0.45">
      <c r="A46" s="136" t="s">
        <v>97</v>
      </c>
      <c r="B46" s="137"/>
      <c r="C46" s="137"/>
      <c r="D46" s="138">
        <f t="shared" si="0"/>
        <v>0</v>
      </c>
      <c r="E46" s="140" t="str">
        <f t="shared" si="1"/>
        <v/>
      </c>
    </row>
    <row r="47" spans="1:5" x14ac:dyDescent="0.45">
      <c r="A47" s="136" t="s">
        <v>98</v>
      </c>
      <c r="B47" s="138">
        <f>407</f>
        <v>407</v>
      </c>
      <c r="C47" s="138">
        <f>391</f>
        <v>391</v>
      </c>
      <c r="D47" s="138">
        <f t="shared" si="0"/>
        <v>16</v>
      </c>
      <c r="E47" s="140">
        <f t="shared" si="1"/>
        <v>4.0920716112531973E-2</v>
      </c>
    </row>
    <row r="48" spans="1:5" x14ac:dyDescent="0.45">
      <c r="A48" s="136" t="s">
        <v>99</v>
      </c>
      <c r="B48" s="139">
        <f>(B46)+(B47)</f>
        <v>407</v>
      </c>
      <c r="C48" s="139">
        <f>(C46)+(C47)</f>
        <v>391</v>
      </c>
      <c r="D48" s="139">
        <f t="shared" si="0"/>
        <v>16</v>
      </c>
      <c r="E48" s="141">
        <f t="shared" si="1"/>
        <v>4.0920716112531973E-2</v>
      </c>
    </row>
    <row r="49" spans="1:5" x14ac:dyDescent="0.45">
      <c r="A49" s="136" t="s">
        <v>100</v>
      </c>
      <c r="B49" s="139">
        <f>(((B29)+(B37))+(B45))+(B48)</f>
        <v>201962.66</v>
      </c>
      <c r="C49" s="139">
        <f>(((C29)+(C37))+(C45))+(C48)</f>
        <v>333862.32</v>
      </c>
      <c r="D49" s="139">
        <f t="shared" si="0"/>
        <v>-131899.66</v>
      </c>
      <c r="E49" s="141">
        <f t="shared" si="1"/>
        <v>-0.39507201651267504</v>
      </c>
    </row>
    <row r="50" spans="1:5" x14ac:dyDescent="0.45">
      <c r="A50" s="136" t="s">
        <v>101</v>
      </c>
      <c r="B50" s="137"/>
      <c r="C50" s="137"/>
      <c r="D50" s="138">
        <f t="shared" si="0"/>
        <v>0</v>
      </c>
      <c r="E50" s="140" t="str">
        <f t="shared" si="1"/>
        <v/>
      </c>
    </row>
    <row r="51" spans="1:5" x14ac:dyDescent="0.45">
      <c r="A51" s="136" t="s">
        <v>102</v>
      </c>
      <c r="B51" s="138">
        <f>5422.63</f>
        <v>5422.63</v>
      </c>
      <c r="C51" s="138">
        <f>809.43</f>
        <v>809.43</v>
      </c>
      <c r="D51" s="138">
        <f t="shared" si="0"/>
        <v>4613.2</v>
      </c>
      <c r="E51" s="140">
        <f t="shared" si="1"/>
        <v>5.6993192740570526</v>
      </c>
    </row>
    <row r="52" spans="1:5" x14ac:dyDescent="0.45">
      <c r="A52" s="136" t="s">
        <v>103</v>
      </c>
      <c r="B52" s="139">
        <f>(B50)+(B51)</f>
        <v>5422.63</v>
      </c>
      <c r="C52" s="139">
        <f>(C50)+(C51)</f>
        <v>809.43</v>
      </c>
      <c r="D52" s="139">
        <f t="shared" si="0"/>
        <v>4613.2</v>
      </c>
      <c r="E52" s="141">
        <f t="shared" si="1"/>
        <v>5.6993192740570526</v>
      </c>
    </row>
    <row r="53" spans="1:5" x14ac:dyDescent="0.45">
      <c r="A53" s="136" t="s">
        <v>20</v>
      </c>
      <c r="B53" s="139">
        <f>((B28)+(B49))+(B52)</f>
        <v>3545259.5</v>
      </c>
      <c r="C53" s="139">
        <f>((C28)+(C49))+(C52)</f>
        <v>2774721.24</v>
      </c>
      <c r="D53" s="139">
        <f t="shared" si="0"/>
        <v>770538.25999999978</v>
      </c>
      <c r="E53" s="141">
        <f t="shared" si="1"/>
        <v>0.27769934106966354</v>
      </c>
    </row>
    <row r="54" spans="1:5" x14ac:dyDescent="0.45">
      <c r="A54" s="136" t="s">
        <v>104</v>
      </c>
      <c r="B54" s="139">
        <f>(B53)-(0)</f>
        <v>3545259.5</v>
      </c>
      <c r="C54" s="139">
        <f>(C53)-(0)</f>
        <v>2774721.24</v>
      </c>
      <c r="D54" s="139">
        <f t="shared" si="0"/>
        <v>770538.25999999978</v>
      </c>
      <c r="E54" s="141">
        <f t="shared" si="1"/>
        <v>0.27769934106966354</v>
      </c>
    </row>
    <row r="55" spans="1:5" x14ac:dyDescent="0.45">
      <c r="A55" s="136" t="s">
        <v>105</v>
      </c>
      <c r="B55" s="137"/>
      <c r="C55" s="137"/>
      <c r="D55" s="137"/>
      <c r="E55" s="137"/>
    </row>
    <row r="56" spans="1:5" x14ac:dyDescent="0.45">
      <c r="A56" s="136" t="s">
        <v>106</v>
      </c>
      <c r="B56" s="137"/>
      <c r="C56" s="137"/>
      <c r="D56" s="138">
        <f t="shared" ref="D56:D119" si="2">(B56)-(C56)</f>
        <v>0</v>
      </c>
      <c r="E56" s="140" t="str">
        <f t="shared" ref="E56:E119" si="3">IF(ABS((C56))=0,"",((B56)-(C56))/(ABS((C56))))</f>
        <v/>
      </c>
    </row>
    <row r="57" spans="1:5" x14ac:dyDescent="0.45">
      <c r="A57" s="136" t="s">
        <v>107</v>
      </c>
      <c r="B57" s="137"/>
      <c r="C57" s="137"/>
      <c r="D57" s="138">
        <f t="shared" si="2"/>
        <v>0</v>
      </c>
      <c r="E57" s="140" t="str">
        <f t="shared" si="3"/>
        <v/>
      </c>
    </row>
    <row r="58" spans="1:5" x14ac:dyDescent="0.45">
      <c r="A58" s="136" t="s">
        <v>108</v>
      </c>
      <c r="B58" s="138">
        <f>107291.69</f>
        <v>107291.69</v>
      </c>
      <c r="C58" s="138">
        <f>87500</f>
        <v>87500</v>
      </c>
      <c r="D58" s="138">
        <f t="shared" si="2"/>
        <v>19791.690000000002</v>
      </c>
      <c r="E58" s="140">
        <f t="shared" si="3"/>
        <v>0.22619074285714288</v>
      </c>
    </row>
    <row r="59" spans="1:5" x14ac:dyDescent="0.45">
      <c r="A59" s="136" t="s">
        <v>109</v>
      </c>
      <c r="B59" s="138">
        <f>115047.46</f>
        <v>115047.46</v>
      </c>
      <c r="C59" s="138">
        <f>81765.65</f>
        <v>81765.649999999994</v>
      </c>
      <c r="D59" s="138">
        <f t="shared" si="2"/>
        <v>33281.810000000012</v>
      </c>
      <c r="E59" s="140">
        <f t="shared" si="3"/>
        <v>0.40703901944153831</v>
      </c>
    </row>
    <row r="60" spans="1:5" x14ac:dyDescent="0.45">
      <c r="A60" s="136" t="s">
        <v>110</v>
      </c>
      <c r="B60" s="138">
        <f>47395.83</f>
        <v>47395.83</v>
      </c>
      <c r="C60" s="138">
        <f>43750</f>
        <v>43750</v>
      </c>
      <c r="D60" s="138">
        <f t="shared" si="2"/>
        <v>3645.8300000000017</v>
      </c>
      <c r="E60" s="140">
        <f t="shared" si="3"/>
        <v>8.3333257142857178E-2</v>
      </c>
    </row>
    <row r="61" spans="1:5" x14ac:dyDescent="0.45">
      <c r="A61" s="136" t="s">
        <v>111</v>
      </c>
      <c r="B61" s="138">
        <f>38812.64</f>
        <v>38812.639999999999</v>
      </c>
      <c r="C61" s="138">
        <f>29662.52</f>
        <v>29662.52</v>
      </c>
      <c r="D61" s="138">
        <f t="shared" si="2"/>
        <v>9150.119999999999</v>
      </c>
      <c r="E61" s="140">
        <f t="shared" si="3"/>
        <v>0.30847412829388732</v>
      </c>
    </row>
    <row r="62" spans="1:5" x14ac:dyDescent="0.45">
      <c r="A62" s="136" t="s">
        <v>112</v>
      </c>
      <c r="B62" s="138">
        <f>24889.83</f>
        <v>24889.83</v>
      </c>
      <c r="C62" s="138">
        <f>19891.2</f>
        <v>19891.2</v>
      </c>
      <c r="D62" s="138">
        <f t="shared" si="2"/>
        <v>4998.630000000001</v>
      </c>
      <c r="E62" s="140">
        <f t="shared" si="3"/>
        <v>0.25129856418918922</v>
      </c>
    </row>
    <row r="63" spans="1:5" x14ac:dyDescent="0.45">
      <c r="A63" s="136" t="s">
        <v>113</v>
      </c>
      <c r="B63" s="138">
        <f>26037.36</f>
        <v>26037.360000000001</v>
      </c>
      <c r="C63" s="138">
        <f>21627.92</f>
        <v>21627.919999999998</v>
      </c>
      <c r="D63" s="138">
        <f t="shared" si="2"/>
        <v>4409.4400000000023</v>
      </c>
      <c r="E63" s="140">
        <f t="shared" si="3"/>
        <v>0.20387721056856151</v>
      </c>
    </row>
    <row r="64" spans="1:5" x14ac:dyDescent="0.45">
      <c r="A64" s="136" t="s">
        <v>114</v>
      </c>
      <c r="B64" s="138">
        <f>16731.84</f>
        <v>16731.84</v>
      </c>
      <c r="C64" s="138">
        <f>17322.24</f>
        <v>17322.240000000002</v>
      </c>
      <c r="D64" s="138">
        <f t="shared" si="2"/>
        <v>-590.40000000000146</v>
      </c>
      <c r="E64" s="140">
        <f t="shared" si="3"/>
        <v>-3.4083351806694827E-2</v>
      </c>
    </row>
    <row r="65" spans="1:5" x14ac:dyDescent="0.45">
      <c r="A65" s="136" t="s">
        <v>115</v>
      </c>
      <c r="B65" s="138">
        <f>8235</f>
        <v>8235</v>
      </c>
      <c r="C65" s="138">
        <f>10912.5</f>
        <v>10912.5</v>
      </c>
      <c r="D65" s="138">
        <f t="shared" si="2"/>
        <v>-2677.5</v>
      </c>
      <c r="E65" s="140">
        <f t="shared" si="3"/>
        <v>-0.24536082474226803</v>
      </c>
    </row>
    <row r="66" spans="1:5" x14ac:dyDescent="0.45">
      <c r="A66" s="136" t="s">
        <v>116</v>
      </c>
      <c r="B66" s="138">
        <f>19376.64</f>
        <v>19376.64</v>
      </c>
      <c r="C66" s="138">
        <f>16075.52</f>
        <v>16075.52</v>
      </c>
      <c r="D66" s="138">
        <f t="shared" si="2"/>
        <v>3301.119999999999</v>
      </c>
      <c r="E66" s="140">
        <f t="shared" si="3"/>
        <v>0.20535074448602589</v>
      </c>
    </row>
    <row r="67" spans="1:5" x14ac:dyDescent="0.45">
      <c r="A67" s="136" t="s">
        <v>117</v>
      </c>
      <c r="B67" s="138">
        <f>43333.36</f>
        <v>43333.36</v>
      </c>
      <c r="C67" s="138">
        <f>33833.31</f>
        <v>33833.31</v>
      </c>
      <c r="D67" s="138">
        <f t="shared" si="2"/>
        <v>9500.0500000000029</v>
      </c>
      <c r="E67" s="140">
        <f t="shared" si="3"/>
        <v>0.2807898488205855</v>
      </c>
    </row>
    <row r="68" spans="1:5" x14ac:dyDescent="0.45">
      <c r="A68" s="136" t="s">
        <v>118</v>
      </c>
      <c r="B68" s="138">
        <f>21214.05</f>
        <v>21214.05</v>
      </c>
      <c r="C68" s="138">
        <f>16949.27</f>
        <v>16949.27</v>
      </c>
      <c r="D68" s="138">
        <f t="shared" si="2"/>
        <v>4264.7799999999988</v>
      </c>
      <c r="E68" s="140">
        <f t="shared" si="3"/>
        <v>0.25162027627148537</v>
      </c>
    </row>
    <row r="69" spans="1:5" x14ac:dyDescent="0.45">
      <c r="A69" s="136" t="s">
        <v>119</v>
      </c>
      <c r="B69" s="138">
        <f>20381.19</f>
        <v>20381.189999999999</v>
      </c>
      <c r="C69" s="138">
        <f>15460.03</f>
        <v>15460.03</v>
      </c>
      <c r="D69" s="138">
        <f t="shared" si="2"/>
        <v>4921.159999999998</v>
      </c>
      <c r="E69" s="140">
        <f t="shared" si="3"/>
        <v>0.31831503561118563</v>
      </c>
    </row>
    <row r="70" spans="1:5" x14ac:dyDescent="0.45">
      <c r="A70" s="136" t="s">
        <v>120</v>
      </c>
      <c r="B70" s="138">
        <f>13651.79</f>
        <v>13651.79</v>
      </c>
      <c r="C70" s="138">
        <f>11281.95</f>
        <v>11281.95</v>
      </c>
      <c r="D70" s="138">
        <f t="shared" si="2"/>
        <v>2369.84</v>
      </c>
      <c r="E70" s="140">
        <f t="shared" si="3"/>
        <v>0.21005588572897416</v>
      </c>
    </row>
    <row r="71" spans="1:5" x14ac:dyDescent="0.45">
      <c r="A71" s="136" t="s">
        <v>121</v>
      </c>
      <c r="B71" s="138">
        <f>25161.83</f>
        <v>25161.83</v>
      </c>
      <c r="C71" s="138">
        <f>28889</f>
        <v>28889</v>
      </c>
      <c r="D71" s="138">
        <f t="shared" si="2"/>
        <v>-3727.1699999999983</v>
      </c>
      <c r="E71" s="140">
        <f t="shared" si="3"/>
        <v>-0.12901692685797356</v>
      </c>
    </row>
    <row r="72" spans="1:5" x14ac:dyDescent="0.45">
      <c r="A72" s="136" t="s">
        <v>122</v>
      </c>
      <c r="B72" s="138">
        <f>16286</f>
        <v>16286</v>
      </c>
      <c r="C72" s="138">
        <f>13663.36</f>
        <v>13663.36</v>
      </c>
      <c r="D72" s="138">
        <f t="shared" si="2"/>
        <v>2622.6399999999994</v>
      </c>
      <c r="E72" s="140">
        <f t="shared" si="3"/>
        <v>0.19194692959857598</v>
      </c>
    </row>
    <row r="73" spans="1:5" x14ac:dyDescent="0.45">
      <c r="A73" s="136" t="s">
        <v>123</v>
      </c>
      <c r="B73" s="138">
        <f>9935.89</f>
        <v>9935.89</v>
      </c>
      <c r="C73" s="138">
        <f>26250</f>
        <v>26250</v>
      </c>
      <c r="D73" s="138">
        <f t="shared" si="2"/>
        <v>-16314.11</v>
      </c>
      <c r="E73" s="140">
        <f t="shared" si="3"/>
        <v>-0.6214899047619048</v>
      </c>
    </row>
    <row r="74" spans="1:5" x14ac:dyDescent="0.45">
      <c r="A74" s="136" t="s">
        <v>124</v>
      </c>
      <c r="B74" s="138">
        <f>29333.36</f>
        <v>29333.360000000001</v>
      </c>
      <c r="C74" s="138">
        <f>20459.2</f>
        <v>20459.2</v>
      </c>
      <c r="D74" s="138">
        <f t="shared" si="2"/>
        <v>8874.16</v>
      </c>
      <c r="E74" s="140">
        <f t="shared" si="3"/>
        <v>0.43374912020020329</v>
      </c>
    </row>
    <row r="75" spans="1:5" x14ac:dyDescent="0.45">
      <c r="A75" s="136" t="s">
        <v>125</v>
      </c>
      <c r="B75" s="138">
        <f>7210</f>
        <v>7210</v>
      </c>
      <c r="C75" s="138">
        <f>6314.71</f>
        <v>6314.71</v>
      </c>
      <c r="D75" s="138">
        <f t="shared" si="2"/>
        <v>895.29</v>
      </c>
      <c r="E75" s="140">
        <f t="shared" si="3"/>
        <v>0.14177848230560072</v>
      </c>
    </row>
    <row r="76" spans="1:5" x14ac:dyDescent="0.45">
      <c r="A76" s="136" t="s">
        <v>126</v>
      </c>
      <c r="B76" s="138">
        <f>24868.08</f>
        <v>24868.080000000002</v>
      </c>
      <c r="C76" s="138">
        <f>20459.2</f>
        <v>20459.2</v>
      </c>
      <c r="D76" s="138">
        <f t="shared" si="2"/>
        <v>4408.880000000001</v>
      </c>
      <c r="E76" s="140">
        <f t="shared" si="3"/>
        <v>0.21549620708532108</v>
      </c>
    </row>
    <row r="77" spans="1:5" x14ac:dyDescent="0.45">
      <c r="A77" s="136" t="s">
        <v>127</v>
      </c>
      <c r="B77" s="138">
        <f>22752.24</f>
        <v>22752.240000000002</v>
      </c>
      <c r="C77" s="138">
        <f>17540.8</f>
        <v>17540.8</v>
      </c>
      <c r="D77" s="138">
        <f t="shared" si="2"/>
        <v>5211.4400000000023</v>
      </c>
      <c r="E77" s="140">
        <f t="shared" si="3"/>
        <v>0.29710389491927408</v>
      </c>
    </row>
    <row r="78" spans="1:5" x14ac:dyDescent="0.45">
      <c r="A78" s="136" t="s">
        <v>128</v>
      </c>
      <c r="B78" s="138">
        <f>37787</f>
        <v>37787</v>
      </c>
      <c r="C78" s="138">
        <f>21234.61</f>
        <v>21234.61</v>
      </c>
      <c r="D78" s="138">
        <f t="shared" si="2"/>
        <v>16552.39</v>
      </c>
      <c r="E78" s="140">
        <f t="shared" si="3"/>
        <v>0.7795005418041584</v>
      </c>
    </row>
    <row r="79" spans="1:5" x14ac:dyDescent="0.45">
      <c r="A79" s="136" t="s">
        <v>129</v>
      </c>
      <c r="B79" s="138">
        <f>27666.64</f>
        <v>27666.639999999999</v>
      </c>
      <c r="C79" s="138">
        <f>21108.55</f>
        <v>21108.55</v>
      </c>
      <c r="D79" s="138">
        <f t="shared" si="2"/>
        <v>6558.09</v>
      </c>
      <c r="E79" s="140">
        <f t="shared" si="3"/>
        <v>0.31068405930298387</v>
      </c>
    </row>
    <row r="80" spans="1:5" x14ac:dyDescent="0.45">
      <c r="A80" s="136" t="s">
        <v>130</v>
      </c>
      <c r="B80" s="138">
        <f>22220</f>
        <v>22220</v>
      </c>
      <c r="C80" s="138">
        <f>18030</f>
        <v>18030</v>
      </c>
      <c r="D80" s="138">
        <f t="shared" si="2"/>
        <v>4190</v>
      </c>
      <c r="E80" s="140">
        <f t="shared" si="3"/>
        <v>0.23239046034387131</v>
      </c>
    </row>
    <row r="81" spans="1:5" x14ac:dyDescent="0.45">
      <c r="A81" s="136" t="s">
        <v>131</v>
      </c>
      <c r="B81" s="138">
        <f>19557.6</f>
        <v>19557.599999999999</v>
      </c>
      <c r="C81" s="138">
        <f>15672.08</f>
        <v>15672.08</v>
      </c>
      <c r="D81" s="138">
        <f t="shared" si="2"/>
        <v>3885.5199999999986</v>
      </c>
      <c r="E81" s="140">
        <f t="shared" si="3"/>
        <v>0.24792624846223338</v>
      </c>
    </row>
    <row r="82" spans="1:5" x14ac:dyDescent="0.45">
      <c r="A82" s="136" t="s">
        <v>132</v>
      </c>
      <c r="B82" s="138">
        <f>33075.04</f>
        <v>33075.040000000001</v>
      </c>
      <c r="C82" s="138">
        <f>27562.5</f>
        <v>27562.5</v>
      </c>
      <c r="D82" s="138">
        <f t="shared" si="2"/>
        <v>5512.5400000000009</v>
      </c>
      <c r="E82" s="140">
        <f t="shared" si="3"/>
        <v>0.20000145124716556</v>
      </c>
    </row>
    <row r="83" spans="1:5" x14ac:dyDescent="0.45">
      <c r="A83" s="136" t="s">
        <v>133</v>
      </c>
      <c r="B83" s="138">
        <f>19557.6</f>
        <v>19557.599999999999</v>
      </c>
      <c r="C83" s="138">
        <f>16140.8</f>
        <v>16140.8</v>
      </c>
      <c r="D83" s="138">
        <f t="shared" si="2"/>
        <v>3416.7999999999993</v>
      </c>
      <c r="E83" s="140">
        <f t="shared" si="3"/>
        <v>0.2116871530531324</v>
      </c>
    </row>
    <row r="84" spans="1:5" ht="21.4" x14ac:dyDescent="0.45">
      <c r="A84" s="136" t="s">
        <v>134</v>
      </c>
      <c r="B84" s="138">
        <f>23427.36</f>
        <v>23427.360000000001</v>
      </c>
      <c r="C84" s="138">
        <f>19000</f>
        <v>19000</v>
      </c>
      <c r="D84" s="138">
        <f t="shared" si="2"/>
        <v>4427.3600000000006</v>
      </c>
      <c r="E84" s="140">
        <f t="shared" si="3"/>
        <v>0.23301894736842108</v>
      </c>
    </row>
    <row r="85" spans="1:5" x14ac:dyDescent="0.45">
      <c r="A85" s="136" t="s">
        <v>135</v>
      </c>
      <c r="B85" s="138">
        <f>42176.5</f>
        <v>42176.5</v>
      </c>
      <c r="C85" s="138">
        <f>32072</f>
        <v>32072</v>
      </c>
      <c r="D85" s="138">
        <f t="shared" si="2"/>
        <v>10104.5</v>
      </c>
      <c r="E85" s="140">
        <f t="shared" si="3"/>
        <v>0.31505674731853328</v>
      </c>
    </row>
    <row r="86" spans="1:5" x14ac:dyDescent="0.45">
      <c r="A86" s="136" t="s">
        <v>136</v>
      </c>
      <c r="B86" s="138">
        <f>20914.8</f>
        <v>20914.8</v>
      </c>
      <c r="C86" s="138">
        <f>15549.2</f>
        <v>15549.2</v>
      </c>
      <c r="D86" s="138">
        <f t="shared" si="2"/>
        <v>5365.5999999999985</v>
      </c>
      <c r="E86" s="140">
        <f t="shared" si="3"/>
        <v>0.3450724153011086</v>
      </c>
    </row>
    <row r="87" spans="1:5" x14ac:dyDescent="0.45">
      <c r="A87" s="136" t="s">
        <v>137</v>
      </c>
      <c r="B87" s="138">
        <f>56000</f>
        <v>56000</v>
      </c>
      <c r="C87" s="138">
        <f>44625</f>
        <v>44625</v>
      </c>
      <c r="D87" s="138">
        <f t="shared" si="2"/>
        <v>11375</v>
      </c>
      <c r="E87" s="140">
        <f t="shared" si="3"/>
        <v>0.25490196078431371</v>
      </c>
    </row>
    <row r="88" spans="1:5" x14ac:dyDescent="0.45">
      <c r="A88" s="136" t="s">
        <v>138</v>
      </c>
      <c r="B88" s="138">
        <f>45666.64</f>
        <v>45666.64</v>
      </c>
      <c r="C88" s="138">
        <f>36458.31</f>
        <v>36458.31</v>
      </c>
      <c r="D88" s="138">
        <f t="shared" si="2"/>
        <v>9208.3300000000017</v>
      </c>
      <c r="E88" s="140">
        <f t="shared" si="3"/>
        <v>0.25257149878861646</v>
      </c>
    </row>
    <row r="89" spans="1:5" x14ac:dyDescent="0.45">
      <c r="A89" s="136" t="s">
        <v>139</v>
      </c>
      <c r="B89" s="138">
        <f>22763.02</f>
        <v>22763.02</v>
      </c>
      <c r="C89" s="138">
        <f>18812.5</f>
        <v>18812.5</v>
      </c>
      <c r="D89" s="138">
        <f t="shared" si="2"/>
        <v>3950.5200000000004</v>
      </c>
      <c r="E89" s="140">
        <f t="shared" si="3"/>
        <v>0.20999441860465118</v>
      </c>
    </row>
    <row r="90" spans="1:5" x14ac:dyDescent="0.45">
      <c r="A90" s="136" t="s">
        <v>140</v>
      </c>
      <c r="B90" s="138">
        <f>9448.12</f>
        <v>9448.1200000000008</v>
      </c>
      <c r="C90" s="138">
        <f>8440.96</f>
        <v>8440.9599999999991</v>
      </c>
      <c r="D90" s="138">
        <f t="shared" si="2"/>
        <v>1007.1600000000017</v>
      </c>
      <c r="E90" s="140">
        <f t="shared" si="3"/>
        <v>0.11931818181818203</v>
      </c>
    </row>
    <row r="91" spans="1:5" x14ac:dyDescent="0.45">
      <c r="A91" s="136" t="s">
        <v>141</v>
      </c>
      <c r="B91" s="138">
        <f>20580.72</f>
        <v>20580.72</v>
      </c>
      <c r="C91" s="138">
        <f>16048.4</f>
        <v>16048.4</v>
      </c>
      <c r="D91" s="138">
        <f t="shared" si="2"/>
        <v>4532.3200000000015</v>
      </c>
      <c r="E91" s="140">
        <f t="shared" si="3"/>
        <v>0.28241569253009657</v>
      </c>
    </row>
    <row r="92" spans="1:5" x14ac:dyDescent="0.45">
      <c r="A92" s="136" t="s">
        <v>142</v>
      </c>
      <c r="B92" s="138">
        <f>19898.64</f>
        <v>19898.64</v>
      </c>
      <c r="C92" s="138">
        <f>15454.32</f>
        <v>15454.32</v>
      </c>
      <c r="D92" s="138">
        <f t="shared" si="2"/>
        <v>4444.32</v>
      </c>
      <c r="E92" s="140">
        <f t="shared" si="3"/>
        <v>0.28757784231205252</v>
      </c>
    </row>
    <row r="93" spans="1:5" x14ac:dyDescent="0.45">
      <c r="A93" s="136" t="s">
        <v>143</v>
      </c>
      <c r="B93" s="138">
        <f>36666.64</f>
        <v>36666.639999999999</v>
      </c>
      <c r="C93" s="138">
        <f>29556.65</f>
        <v>29556.65</v>
      </c>
      <c r="D93" s="138">
        <f t="shared" si="2"/>
        <v>7109.989999999998</v>
      </c>
      <c r="E93" s="140">
        <f t="shared" si="3"/>
        <v>0.24055466367128878</v>
      </c>
    </row>
    <row r="94" spans="1:5" x14ac:dyDescent="0.45">
      <c r="A94" s="136" t="s">
        <v>144</v>
      </c>
      <c r="B94" s="138">
        <f>30375.04</f>
        <v>30375.040000000001</v>
      </c>
      <c r="C94" s="138">
        <f>23989.56</f>
        <v>23989.56</v>
      </c>
      <c r="D94" s="138">
        <f t="shared" si="2"/>
        <v>6385.48</v>
      </c>
      <c r="E94" s="140">
        <f t="shared" si="3"/>
        <v>0.26617745385909536</v>
      </c>
    </row>
    <row r="95" spans="1:5" x14ac:dyDescent="0.45">
      <c r="A95" s="136" t="s">
        <v>145</v>
      </c>
      <c r="B95" s="138">
        <f>20246.64</f>
        <v>20246.64</v>
      </c>
      <c r="C95" s="138">
        <f>16920.64</f>
        <v>16920.64</v>
      </c>
      <c r="D95" s="138">
        <f t="shared" si="2"/>
        <v>3326</v>
      </c>
      <c r="E95" s="140">
        <f t="shared" si="3"/>
        <v>0.19656466894869226</v>
      </c>
    </row>
    <row r="96" spans="1:5" x14ac:dyDescent="0.45">
      <c r="A96" s="136" t="s">
        <v>146</v>
      </c>
      <c r="B96" s="138">
        <f>21548.16</f>
        <v>21548.16</v>
      </c>
      <c r="C96" s="138">
        <f>17632</f>
        <v>17632</v>
      </c>
      <c r="D96" s="138">
        <f t="shared" si="2"/>
        <v>3916.16</v>
      </c>
      <c r="E96" s="140">
        <f t="shared" si="3"/>
        <v>0.22210526315789472</v>
      </c>
    </row>
    <row r="97" spans="1:5" x14ac:dyDescent="0.45">
      <c r="A97" s="136" t="s">
        <v>147</v>
      </c>
      <c r="B97" s="138">
        <f>36112.64</f>
        <v>36112.639999999999</v>
      </c>
      <c r="C97" s="138">
        <f>27300</f>
        <v>27300</v>
      </c>
      <c r="D97" s="138">
        <f t="shared" si="2"/>
        <v>8812.64</v>
      </c>
      <c r="E97" s="140">
        <f t="shared" si="3"/>
        <v>0.32280732600732598</v>
      </c>
    </row>
    <row r="98" spans="1:5" ht="21.4" x14ac:dyDescent="0.45">
      <c r="A98" s="136" t="s">
        <v>454</v>
      </c>
      <c r="B98" s="138">
        <f>27500</f>
        <v>27500</v>
      </c>
      <c r="C98" s="138">
        <f>19791.67</f>
        <v>19791.669999999998</v>
      </c>
      <c r="D98" s="138">
        <f t="shared" si="2"/>
        <v>7708.3300000000017</v>
      </c>
      <c r="E98" s="140">
        <f t="shared" si="3"/>
        <v>0.38947345019394536</v>
      </c>
    </row>
    <row r="99" spans="1:5" x14ac:dyDescent="0.45">
      <c r="A99" s="136" t="s">
        <v>148</v>
      </c>
      <c r="B99" s="138">
        <f>17720.16</f>
        <v>17720.16</v>
      </c>
      <c r="C99" s="138">
        <f>14355.2</f>
        <v>14355.2</v>
      </c>
      <c r="D99" s="138">
        <f t="shared" si="2"/>
        <v>3364.9599999999991</v>
      </c>
      <c r="E99" s="140">
        <f t="shared" si="3"/>
        <v>0.23440704413731603</v>
      </c>
    </row>
    <row r="100" spans="1:5" x14ac:dyDescent="0.45">
      <c r="A100" s="136" t="s">
        <v>149</v>
      </c>
      <c r="B100" s="138">
        <f>36666.64</f>
        <v>36666.639999999999</v>
      </c>
      <c r="C100" s="138">
        <f>21079.55</f>
        <v>21079.55</v>
      </c>
      <c r="D100" s="138">
        <f t="shared" si="2"/>
        <v>15587.09</v>
      </c>
      <c r="E100" s="140">
        <f t="shared" si="3"/>
        <v>0.73944130685901743</v>
      </c>
    </row>
    <row r="101" spans="1:5" x14ac:dyDescent="0.45">
      <c r="A101" s="136" t="s">
        <v>150</v>
      </c>
      <c r="B101" s="138">
        <f>10112</f>
        <v>10112</v>
      </c>
      <c r="C101" s="138">
        <f>9525</f>
        <v>9525</v>
      </c>
      <c r="D101" s="138">
        <f t="shared" si="2"/>
        <v>587</v>
      </c>
      <c r="E101" s="140">
        <f t="shared" si="3"/>
        <v>6.1627296587926511E-2</v>
      </c>
    </row>
    <row r="102" spans="1:5" x14ac:dyDescent="0.45">
      <c r="A102" s="136" t="s">
        <v>151</v>
      </c>
      <c r="B102" s="138">
        <f>6625</f>
        <v>6625</v>
      </c>
      <c r="C102" s="138">
        <f>5600</f>
        <v>5600</v>
      </c>
      <c r="D102" s="138">
        <f t="shared" si="2"/>
        <v>1025</v>
      </c>
      <c r="E102" s="140">
        <f t="shared" si="3"/>
        <v>0.18303571428571427</v>
      </c>
    </row>
    <row r="103" spans="1:5" x14ac:dyDescent="0.45">
      <c r="A103" s="136" t="s">
        <v>152</v>
      </c>
      <c r="B103" s="138">
        <f>21165.36</f>
        <v>21165.360000000001</v>
      </c>
      <c r="C103" s="138">
        <f>17540.8</f>
        <v>17540.8</v>
      </c>
      <c r="D103" s="138">
        <f t="shared" si="2"/>
        <v>3624.5600000000013</v>
      </c>
      <c r="E103" s="140">
        <f t="shared" si="3"/>
        <v>0.2066359573109551</v>
      </c>
    </row>
    <row r="104" spans="1:5" x14ac:dyDescent="0.45">
      <c r="A104" s="136" t="s">
        <v>153</v>
      </c>
      <c r="B104" s="138">
        <f>20580.72</f>
        <v>20580.72</v>
      </c>
      <c r="C104" s="138">
        <f>16451.5</f>
        <v>16451.5</v>
      </c>
      <c r="D104" s="138">
        <f t="shared" si="2"/>
        <v>4129.2200000000012</v>
      </c>
      <c r="E104" s="140">
        <f t="shared" si="3"/>
        <v>0.25099352642616179</v>
      </c>
    </row>
    <row r="105" spans="1:5" x14ac:dyDescent="0.45">
      <c r="A105" s="136" t="s">
        <v>154</v>
      </c>
      <c r="B105" s="138">
        <f>18979.92</f>
        <v>18979.919999999998</v>
      </c>
      <c r="C105" s="138">
        <f>15808</f>
        <v>15808</v>
      </c>
      <c r="D105" s="138">
        <f t="shared" si="2"/>
        <v>3171.9199999999983</v>
      </c>
      <c r="E105" s="140">
        <f t="shared" si="3"/>
        <v>0.20065283400809705</v>
      </c>
    </row>
    <row r="106" spans="1:5" x14ac:dyDescent="0.45">
      <c r="A106" s="136" t="s">
        <v>155</v>
      </c>
      <c r="B106" s="138">
        <f>23142</f>
        <v>23142</v>
      </c>
      <c r="C106" s="138">
        <f>18416.32</f>
        <v>18416.32</v>
      </c>
      <c r="D106" s="138">
        <f t="shared" si="2"/>
        <v>4725.68</v>
      </c>
      <c r="E106" s="140">
        <f t="shared" si="3"/>
        <v>0.25660283922086496</v>
      </c>
    </row>
    <row r="107" spans="1:5" x14ac:dyDescent="0.45">
      <c r="A107" s="136" t="s">
        <v>156</v>
      </c>
      <c r="B107" s="138">
        <f>9740</f>
        <v>9740</v>
      </c>
      <c r="C107" s="138">
        <f>9120</f>
        <v>9120</v>
      </c>
      <c r="D107" s="138">
        <f t="shared" si="2"/>
        <v>620</v>
      </c>
      <c r="E107" s="140">
        <f t="shared" si="3"/>
        <v>6.798245614035088E-2</v>
      </c>
    </row>
    <row r="108" spans="1:5" x14ac:dyDescent="0.45">
      <c r="A108" s="136" t="s">
        <v>157</v>
      </c>
      <c r="B108" s="138">
        <f>660</f>
        <v>660</v>
      </c>
      <c r="C108" s="138">
        <f>466.2</f>
        <v>466.2</v>
      </c>
      <c r="D108" s="138">
        <f t="shared" si="2"/>
        <v>193.8</v>
      </c>
      <c r="E108" s="140">
        <f t="shared" si="3"/>
        <v>0.41570141570141572</v>
      </c>
    </row>
    <row r="109" spans="1:5" x14ac:dyDescent="0.45">
      <c r="A109" s="136" t="s">
        <v>158</v>
      </c>
      <c r="B109" s="138">
        <f>19383.6</f>
        <v>19383.599999999999</v>
      </c>
      <c r="C109" s="138">
        <f>16075.52</f>
        <v>16075.52</v>
      </c>
      <c r="D109" s="138">
        <f t="shared" si="2"/>
        <v>3308.0799999999981</v>
      </c>
      <c r="E109" s="140">
        <f t="shared" si="3"/>
        <v>0.2057837009316027</v>
      </c>
    </row>
    <row r="110" spans="1:5" x14ac:dyDescent="0.45">
      <c r="A110" s="136" t="s">
        <v>451</v>
      </c>
      <c r="B110" s="138">
        <f>17546.16</f>
        <v>17546.16</v>
      </c>
      <c r="C110" s="138">
        <f>8846.72</f>
        <v>8846.7199999999993</v>
      </c>
      <c r="D110" s="138">
        <f t="shared" si="2"/>
        <v>8699.44</v>
      </c>
      <c r="E110" s="140">
        <f t="shared" si="3"/>
        <v>0.98335202199233174</v>
      </c>
    </row>
    <row r="111" spans="1:5" x14ac:dyDescent="0.45">
      <c r="A111" s="136" t="s">
        <v>159</v>
      </c>
      <c r="B111" s="138">
        <f>17303.52</f>
        <v>17303.52</v>
      </c>
      <c r="C111" s="138">
        <f>13807.68</f>
        <v>13807.68</v>
      </c>
      <c r="D111" s="138">
        <f t="shared" si="2"/>
        <v>3495.84</v>
      </c>
      <c r="E111" s="140">
        <f t="shared" si="3"/>
        <v>0.25318083848988387</v>
      </c>
    </row>
    <row r="112" spans="1:5" x14ac:dyDescent="0.45">
      <c r="A112" s="136" t="s">
        <v>160</v>
      </c>
      <c r="B112" s="138">
        <f>21741.04</f>
        <v>21741.040000000001</v>
      </c>
      <c r="C112" s="138">
        <f>13686.44</f>
        <v>13686.44</v>
      </c>
      <c r="D112" s="138">
        <f t="shared" si="2"/>
        <v>8054.6</v>
      </c>
      <c r="E112" s="140">
        <f t="shared" si="3"/>
        <v>0.58850950283638404</v>
      </c>
    </row>
    <row r="113" spans="1:5" x14ac:dyDescent="0.45">
      <c r="A113" s="136" t="s">
        <v>161</v>
      </c>
      <c r="B113" s="138">
        <f>36666.64</f>
        <v>36666.639999999999</v>
      </c>
      <c r="C113" s="138">
        <f>29166.69</f>
        <v>29166.69</v>
      </c>
      <c r="D113" s="138">
        <f t="shared" si="2"/>
        <v>7499.9500000000007</v>
      </c>
      <c r="E113" s="140">
        <f t="shared" si="3"/>
        <v>0.25714093714439318</v>
      </c>
    </row>
    <row r="114" spans="1:5" x14ac:dyDescent="0.45">
      <c r="A114" s="136" t="s">
        <v>453</v>
      </c>
      <c r="B114" s="138">
        <f>16008</f>
        <v>16008</v>
      </c>
      <c r="C114" s="138">
        <f>350</f>
        <v>350</v>
      </c>
      <c r="D114" s="138">
        <f t="shared" si="2"/>
        <v>15658</v>
      </c>
      <c r="E114" s="140">
        <f t="shared" si="3"/>
        <v>44.737142857142857</v>
      </c>
    </row>
    <row r="115" spans="1:5" x14ac:dyDescent="0.45">
      <c r="A115" s="136" t="s">
        <v>162</v>
      </c>
      <c r="B115" s="138">
        <f>19494.96</f>
        <v>19494.96</v>
      </c>
      <c r="C115" s="138">
        <f>14616.32</f>
        <v>14616.32</v>
      </c>
      <c r="D115" s="138">
        <f t="shared" si="2"/>
        <v>4878.6399999999994</v>
      </c>
      <c r="E115" s="140">
        <f t="shared" si="3"/>
        <v>0.33378032226990101</v>
      </c>
    </row>
    <row r="116" spans="1:5" x14ac:dyDescent="0.45">
      <c r="A116" s="136" t="s">
        <v>455</v>
      </c>
      <c r="B116" s="138">
        <f>20998.32</f>
        <v>20998.32</v>
      </c>
      <c r="C116" s="138">
        <f>17832.64</f>
        <v>17832.64</v>
      </c>
      <c r="D116" s="138">
        <f t="shared" si="2"/>
        <v>3165.6800000000003</v>
      </c>
      <c r="E116" s="140">
        <f t="shared" si="3"/>
        <v>0.17752166813214423</v>
      </c>
    </row>
    <row r="117" spans="1:5" x14ac:dyDescent="0.45">
      <c r="A117" s="136" t="s">
        <v>163</v>
      </c>
      <c r="B117" s="138">
        <f>19404.48</f>
        <v>19404.48</v>
      </c>
      <c r="C117" s="138">
        <f>16081.6</f>
        <v>16081.6</v>
      </c>
      <c r="D117" s="138">
        <f t="shared" si="2"/>
        <v>3322.8799999999992</v>
      </c>
      <c r="E117" s="140">
        <f t="shared" si="3"/>
        <v>0.20662620634762704</v>
      </c>
    </row>
    <row r="118" spans="1:5" x14ac:dyDescent="0.45">
      <c r="A118" s="136" t="s">
        <v>164</v>
      </c>
      <c r="B118" s="138">
        <f>19404.48</f>
        <v>19404.48</v>
      </c>
      <c r="C118" s="138">
        <f>16081.6</f>
        <v>16081.6</v>
      </c>
      <c r="D118" s="138">
        <f t="shared" si="2"/>
        <v>3322.8799999999992</v>
      </c>
      <c r="E118" s="140">
        <f t="shared" si="3"/>
        <v>0.20662620634762704</v>
      </c>
    </row>
    <row r="119" spans="1:5" x14ac:dyDescent="0.45">
      <c r="A119" s="136" t="s">
        <v>165</v>
      </c>
      <c r="B119" s="138">
        <f>20107.44</f>
        <v>20107.439999999999</v>
      </c>
      <c r="C119" s="138">
        <f>16665.28</f>
        <v>16665.28</v>
      </c>
      <c r="D119" s="138">
        <f t="shared" si="2"/>
        <v>3442.16</v>
      </c>
      <c r="E119" s="140">
        <f t="shared" si="3"/>
        <v>0.20654678469248641</v>
      </c>
    </row>
    <row r="120" spans="1:5" x14ac:dyDescent="0.45">
      <c r="A120" s="136" t="s">
        <v>166</v>
      </c>
      <c r="B120" s="138">
        <f>17567.04</f>
        <v>17567.04</v>
      </c>
      <c r="C120" s="138">
        <f>14616.32</f>
        <v>14616.32</v>
      </c>
      <c r="D120" s="138">
        <f t="shared" ref="D120:D183" si="4">(B120)-(C120)</f>
        <v>2950.7200000000012</v>
      </c>
      <c r="E120" s="140">
        <f t="shared" ref="E120:E183" si="5">IF(ABS((C120))=0,"",((B120)-(C120))/(ABS((C120))))</f>
        <v>0.2018784482003679</v>
      </c>
    </row>
    <row r="121" spans="1:5" x14ac:dyDescent="0.45">
      <c r="A121" s="136" t="s">
        <v>167</v>
      </c>
      <c r="B121" s="138">
        <f>17216.34</f>
        <v>17216.34</v>
      </c>
      <c r="C121" s="138">
        <f>14448.08</f>
        <v>14448.08</v>
      </c>
      <c r="D121" s="138">
        <f t="shared" si="4"/>
        <v>2768.26</v>
      </c>
      <c r="E121" s="140">
        <f t="shared" si="5"/>
        <v>0.19160054484748149</v>
      </c>
    </row>
    <row r="122" spans="1:5" ht="21.4" x14ac:dyDescent="0.45">
      <c r="A122" s="136" t="s">
        <v>470</v>
      </c>
      <c r="B122" s="138">
        <f>16731.84</f>
        <v>16731.84</v>
      </c>
      <c r="C122" s="138">
        <f>15200</f>
        <v>15200</v>
      </c>
      <c r="D122" s="138">
        <f t="shared" si="4"/>
        <v>1531.8400000000001</v>
      </c>
      <c r="E122" s="140">
        <f t="shared" si="5"/>
        <v>0.10077894736842107</v>
      </c>
    </row>
    <row r="123" spans="1:5" x14ac:dyDescent="0.45">
      <c r="A123" s="136" t="s">
        <v>168</v>
      </c>
      <c r="B123" s="138">
        <f>19376.64</f>
        <v>19376.64</v>
      </c>
      <c r="C123" s="138">
        <f>16081.6</f>
        <v>16081.6</v>
      </c>
      <c r="D123" s="138">
        <f t="shared" si="4"/>
        <v>3295.0399999999991</v>
      </c>
      <c r="E123" s="140">
        <f t="shared" si="5"/>
        <v>0.20489503531986861</v>
      </c>
    </row>
    <row r="124" spans="1:5" x14ac:dyDescent="0.45">
      <c r="A124" s="136" t="s">
        <v>169</v>
      </c>
      <c r="B124" s="138">
        <f>19021.68</f>
        <v>19021.68</v>
      </c>
      <c r="C124" s="138">
        <f>10791.6</f>
        <v>10791.6</v>
      </c>
      <c r="D124" s="138">
        <f t="shared" si="4"/>
        <v>8230.08</v>
      </c>
      <c r="E124" s="140">
        <f t="shared" si="5"/>
        <v>0.76263760702768812</v>
      </c>
    </row>
    <row r="125" spans="1:5" x14ac:dyDescent="0.45">
      <c r="A125" s="136" t="s">
        <v>170</v>
      </c>
      <c r="B125" s="138">
        <f>18151.68</f>
        <v>18151.68</v>
      </c>
      <c r="C125" s="138">
        <f>10411.5</f>
        <v>10411.5</v>
      </c>
      <c r="D125" s="138">
        <f t="shared" si="4"/>
        <v>7740.18</v>
      </c>
      <c r="E125" s="140">
        <f t="shared" si="5"/>
        <v>0.74342601930557561</v>
      </c>
    </row>
    <row r="126" spans="1:5" x14ac:dyDescent="0.45">
      <c r="A126" s="136" t="s">
        <v>490</v>
      </c>
      <c r="B126" s="137"/>
      <c r="C126" s="138">
        <f>2115.52</f>
        <v>2115.52</v>
      </c>
      <c r="D126" s="138">
        <f t="shared" si="4"/>
        <v>-2115.52</v>
      </c>
      <c r="E126" s="140">
        <f t="shared" si="5"/>
        <v>-1</v>
      </c>
    </row>
    <row r="127" spans="1:5" x14ac:dyDescent="0.45">
      <c r="A127" s="136" t="s">
        <v>447</v>
      </c>
      <c r="B127" s="138">
        <f>18638.88</f>
        <v>18638.88</v>
      </c>
      <c r="C127" s="137"/>
      <c r="D127" s="138">
        <f t="shared" si="4"/>
        <v>18638.88</v>
      </c>
      <c r="E127" s="140" t="str">
        <f t="shared" si="5"/>
        <v/>
      </c>
    </row>
    <row r="128" spans="1:5" x14ac:dyDescent="0.45">
      <c r="A128" s="136" t="s">
        <v>456</v>
      </c>
      <c r="B128" s="138">
        <f>21840.48</f>
        <v>21840.48</v>
      </c>
      <c r="C128" s="137"/>
      <c r="D128" s="138">
        <f t="shared" si="4"/>
        <v>21840.48</v>
      </c>
      <c r="E128" s="140" t="str">
        <f t="shared" si="5"/>
        <v/>
      </c>
    </row>
    <row r="129" spans="1:5" x14ac:dyDescent="0.45">
      <c r="A129" s="136" t="s">
        <v>459</v>
      </c>
      <c r="B129" s="138">
        <f>13574</f>
        <v>13574</v>
      </c>
      <c r="C129" s="137"/>
      <c r="D129" s="138">
        <f t="shared" si="4"/>
        <v>13574</v>
      </c>
      <c r="E129" s="140" t="str">
        <f t="shared" si="5"/>
        <v/>
      </c>
    </row>
    <row r="130" spans="1:5" x14ac:dyDescent="0.45">
      <c r="A130" s="136" t="s">
        <v>471</v>
      </c>
      <c r="B130" s="138">
        <f>12395.84</f>
        <v>12395.84</v>
      </c>
      <c r="C130" s="137"/>
      <c r="D130" s="138">
        <f t="shared" si="4"/>
        <v>12395.84</v>
      </c>
      <c r="E130" s="140" t="str">
        <f t="shared" si="5"/>
        <v/>
      </c>
    </row>
    <row r="131" spans="1:5" x14ac:dyDescent="0.45">
      <c r="A131" s="136" t="s">
        <v>485</v>
      </c>
      <c r="B131" s="138">
        <f>5077.6</f>
        <v>5077.6000000000004</v>
      </c>
      <c r="C131" s="137"/>
      <c r="D131" s="138">
        <f t="shared" si="4"/>
        <v>5077.6000000000004</v>
      </c>
      <c r="E131" s="140" t="str">
        <f t="shared" si="5"/>
        <v/>
      </c>
    </row>
    <row r="132" spans="1:5" x14ac:dyDescent="0.45">
      <c r="A132" s="136" t="s">
        <v>171</v>
      </c>
      <c r="B132" s="139">
        <f>((((((((((((((((((((((((((((((((((((((((((((((((((((((((((((((((((((((((((B57)+(B58))+(B59))+(B60))+(B61))+(B62))+(B63))+(B64))+(B65))+(B66))+(B67))+(B68))+(B69))+(B70))+(B71))+(B72))+(B73))+(B74))+(B75))+(B76))+(B77))+(B78))+(B79))+(B80))+(B81))+(B82))+(B83))+(B84))+(B85))+(B86))+(B87))+(B88))+(B89))+(B90))+(B91))+(B92))+(B93))+(B94))+(B95))+(B96))+(B97))+(B98))+(B99))+(B100))+(B101))+(B102))+(B103))+(B104))+(B105))+(B106))+(B107))+(B108))+(B109))+(B110))+(B111))+(B112))+(B113))+(B114))+(B115))+(B116))+(B117))+(B118))+(B119))+(B120))+(B121))+(B122))+(B123))+(B124))+(B125))+(B126))+(B127))+(B128))+(B129))+(B130))+(B131)</f>
        <v>1804177.3399999994</v>
      </c>
      <c r="C132" s="139">
        <f>((((((((((((((((((((((((((((((((((((((((((((((((((((((((((((((((((((((((((C57)+(C58))+(C59))+(C60))+(C61))+(C62))+(C63))+(C64))+(C65))+(C66))+(C67))+(C68))+(C69))+(C70))+(C71))+(C72))+(C73))+(C74))+(C75))+(C76))+(C77))+(C78))+(C79))+(C80))+(C81))+(C82))+(C83))+(C84))+(C85))+(C86))+(C87))+(C88))+(C89))+(C90))+(C91))+(C92))+(C93))+(C94))+(C95))+(C96))+(C97))+(C98))+(C99))+(C100))+(C101))+(C102))+(C103))+(C104))+(C105))+(C106))+(C107))+(C108))+(C109))+(C110))+(C111))+(C112))+(C113))+(C114))+(C115))+(C116))+(C117))+(C118))+(C119))+(C120))+(C121))+(C122))+(C123))+(C124))+(C125))+(C126))+(C127))+(C128))+(C129))+(C130))+(C131)</f>
        <v>1376245.8100000008</v>
      </c>
      <c r="D132" s="139">
        <f t="shared" si="4"/>
        <v>427931.52999999863</v>
      </c>
      <c r="E132" s="141">
        <f t="shared" si="5"/>
        <v>0.31094120460937019</v>
      </c>
    </row>
    <row r="133" spans="1:5" x14ac:dyDescent="0.45">
      <c r="A133" s="136" t="s">
        <v>172</v>
      </c>
      <c r="B133" s="137"/>
      <c r="C133" s="137"/>
      <c r="D133" s="138">
        <f t="shared" si="4"/>
        <v>0</v>
      </c>
      <c r="E133" s="140" t="str">
        <f t="shared" si="5"/>
        <v/>
      </c>
    </row>
    <row r="134" spans="1:5" x14ac:dyDescent="0.45">
      <c r="A134" s="136" t="s">
        <v>173</v>
      </c>
      <c r="B134" s="138">
        <f>176950.26</f>
        <v>176950.26</v>
      </c>
      <c r="C134" s="138">
        <f>132327.63</f>
        <v>132327.63</v>
      </c>
      <c r="D134" s="138">
        <f t="shared" si="4"/>
        <v>44622.630000000005</v>
      </c>
      <c r="E134" s="140">
        <f t="shared" si="5"/>
        <v>0.33721324866167407</v>
      </c>
    </row>
    <row r="135" spans="1:5" x14ac:dyDescent="0.45">
      <c r="A135" s="136" t="s">
        <v>174</v>
      </c>
      <c r="B135" s="139">
        <f>(B133)+(B134)</f>
        <v>176950.26</v>
      </c>
      <c r="C135" s="139">
        <f>(C133)+(C134)</f>
        <v>132327.63</v>
      </c>
      <c r="D135" s="139">
        <f t="shared" si="4"/>
        <v>44622.630000000005</v>
      </c>
      <c r="E135" s="141">
        <f t="shared" si="5"/>
        <v>0.33721324866167407</v>
      </c>
    </row>
    <row r="136" spans="1:5" x14ac:dyDescent="0.45">
      <c r="A136" s="136" t="s">
        <v>175</v>
      </c>
      <c r="B136" s="137"/>
      <c r="C136" s="137"/>
      <c r="D136" s="138">
        <f t="shared" si="4"/>
        <v>0</v>
      </c>
      <c r="E136" s="140" t="str">
        <f t="shared" si="5"/>
        <v/>
      </c>
    </row>
    <row r="137" spans="1:5" x14ac:dyDescent="0.45">
      <c r="A137" s="136" t="s">
        <v>176</v>
      </c>
      <c r="B137" s="138">
        <f>110595.99</f>
        <v>110595.99</v>
      </c>
      <c r="C137" s="138">
        <f>61672.5</f>
        <v>61672.5</v>
      </c>
      <c r="D137" s="138">
        <f t="shared" si="4"/>
        <v>48923.490000000005</v>
      </c>
      <c r="E137" s="140">
        <f t="shared" si="5"/>
        <v>0.79327885200048653</v>
      </c>
    </row>
    <row r="138" spans="1:5" x14ac:dyDescent="0.45">
      <c r="A138" s="136" t="s">
        <v>177</v>
      </c>
      <c r="B138" s="137"/>
      <c r="C138" s="138">
        <f>0</f>
        <v>0</v>
      </c>
      <c r="D138" s="138">
        <f t="shared" si="4"/>
        <v>0</v>
      </c>
      <c r="E138" s="140" t="str">
        <f t="shared" si="5"/>
        <v/>
      </c>
    </row>
    <row r="139" spans="1:5" x14ac:dyDescent="0.45">
      <c r="A139" s="136" t="s">
        <v>178</v>
      </c>
      <c r="B139" s="138">
        <f>639.95</f>
        <v>639.95000000000005</v>
      </c>
      <c r="C139" s="138">
        <f>516.96</f>
        <v>516.96</v>
      </c>
      <c r="D139" s="138">
        <f t="shared" si="4"/>
        <v>122.99000000000001</v>
      </c>
      <c r="E139" s="140">
        <f t="shared" si="5"/>
        <v>0.23791008975549366</v>
      </c>
    </row>
    <row r="140" spans="1:5" x14ac:dyDescent="0.45">
      <c r="A140" s="136" t="s">
        <v>179</v>
      </c>
      <c r="B140" s="138">
        <f>247.35</f>
        <v>247.35</v>
      </c>
      <c r="C140" s="138">
        <f>197.37</f>
        <v>197.37</v>
      </c>
      <c r="D140" s="138">
        <f t="shared" si="4"/>
        <v>49.97999999999999</v>
      </c>
      <c r="E140" s="140">
        <f t="shared" si="5"/>
        <v>0.25322997416020665</v>
      </c>
    </row>
    <row r="141" spans="1:5" x14ac:dyDescent="0.45">
      <c r="A141" s="136" t="s">
        <v>180</v>
      </c>
      <c r="B141" s="138">
        <f>2698.75</f>
        <v>2698.75</v>
      </c>
      <c r="C141" s="138">
        <f>2122.49</f>
        <v>2122.4899999999998</v>
      </c>
      <c r="D141" s="138">
        <f t="shared" si="4"/>
        <v>576.26000000000022</v>
      </c>
      <c r="E141" s="140">
        <f t="shared" si="5"/>
        <v>0.2715018680888957</v>
      </c>
    </row>
    <row r="142" spans="1:5" x14ac:dyDescent="0.45">
      <c r="A142" s="136" t="s">
        <v>181</v>
      </c>
      <c r="B142" s="138">
        <f>2954.22</f>
        <v>2954.22</v>
      </c>
      <c r="C142" s="138">
        <f>2318.66</f>
        <v>2318.66</v>
      </c>
      <c r="D142" s="138">
        <f t="shared" si="4"/>
        <v>635.55999999999995</v>
      </c>
      <c r="E142" s="140">
        <f t="shared" si="5"/>
        <v>0.27410659605116749</v>
      </c>
    </row>
    <row r="143" spans="1:5" x14ac:dyDescent="0.45">
      <c r="A143" s="136" t="s">
        <v>182</v>
      </c>
      <c r="B143" s="137"/>
      <c r="C143" s="138">
        <f>0</f>
        <v>0</v>
      </c>
      <c r="D143" s="138">
        <f t="shared" si="4"/>
        <v>0</v>
      </c>
      <c r="E143" s="140" t="str">
        <f t="shared" si="5"/>
        <v/>
      </c>
    </row>
    <row r="144" spans="1:5" x14ac:dyDescent="0.45">
      <c r="A144" s="136" t="s">
        <v>183</v>
      </c>
      <c r="B144" s="137"/>
      <c r="C144" s="138">
        <f>17.42</f>
        <v>17.420000000000002</v>
      </c>
      <c r="D144" s="138">
        <f t="shared" si="4"/>
        <v>-17.420000000000002</v>
      </c>
      <c r="E144" s="140">
        <f t="shared" si="5"/>
        <v>-1</v>
      </c>
    </row>
    <row r="145" spans="1:5" x14ac:dyDescent="0.45">
      <c r="A145" s="136" t="s">
        <v>184</v>
      </c>
      <c r="B145" s="138">
        <f>297</f>
        <v>297</v>
      </c>
      <c r="C145" s="138">
        <f>831</f>
        <v>831</v>
      </c>
      <c r="D145" s="138">
        <f t="shared" si="4"/>
        <v>-534</v>
      </c>
      <c r="E145" s="140">
        <f t="shared" si="5"/>
        <v>-0.64259927797833938</v>
      </c>
    </row>
    <row r="146" spans="1:5" x14ac:dyDescent="0.45">
      <c r="A146" s="136" t="s">
        <v>185</v>
      </c>
      <c r="B146" s="138">
        <f>46631.66</f>
        <v>46631.66</v>
      </c>
      <c r="C146" s="138">
        <f>30514.73</f>
        <v>30514.73</v>
      </c>
      <c r="D146" s="138">
        <f t="shared" si="4"/>
        <v>16116.930000000004</v>
      </c>
      <c r="E146" s="140">
        <f t="shared" si="5"/>
        <v>0.52816885484485698</v>
      </c>
    </row>
    <row r="147" spans="1:5" x14ac:dyDescent="0.45">
      <c r="A147" s="136" t="s">
        <v>186</v>
      </c>
      <c r="B147" s="138">
        <f>25638.57</f>
        <v>25638.57</v>
      </c>
      <c r="C147" s="138">
        <f>17250.47</f>
        <v>17250.47</v>
      </c>
      <c r="D147" s="138">
        <f t="shared" si="4"/>
        <v>8388.0999999999985</v>
      </c>
      <c r="E147" s="140">
        <f t="shared" si="5"/>
        <v>0.48625341802281319</v>
      </c>
    </row>
    <row r="148" spans="1:5" x14ac:dyDescent="0.45">
      <c r="A148" s="136" t="s">
        <v>187</v>
      </c>
      <c r="B148" s="139">
        <f>(((((((((((B136)+(B137))+(B138))+(B139))+(B140))+(B141))+(B142))+(B143))+(B144))+(B145))+(B146))+(B147)</f>
        <v>189703.49000000002</v>
      </c>
      <c r="C148" s="139">
        <f>(((((((((((C136)+(C137))+(C138))+(C139))+(C140))+(C141))+(C142))+(C143))+(C144))+(C145))+(C146))+(C147)</f>
        <v>115441.59999999999</v>
      </c>
      <c r="D148" s="139">
        <f t="shared" si="4"/>
        <v>74261.890000000029</v>
      </c>
      <c r="E148" s="141">
        <f t="shared" si="5"/>
        <v>0.64328534947540605</v>
      </c>
    </row>
    <row r="149" spans="1:5" x14ac:dyDescent="0.45">
      <c r="A149" s="136" t="s">
        <v>188</v>
      </c>
      <c r="B149" s="137"/>
      <c r="C149" s="137"/>
      <c r="D149" s="138">
        <f t="shared" si="4"/>
        <v>0</v>
      </c>
      <c r="E149" s="140" t="str">
        <f t="shared" si="5"/>
        <v/>
      </c>
    </row>
    <row r="150" spans="1:5" x14ac:dyDescent="0.45">
      <c r="A150" s="136" t="s">
        <v>189</v>
      </c>
      <c r="B150" s="138">
        <f>23958.6</f>
        <v>23958.6</v>
      </c>
      <c r="C150" s="138">
        <f>14282.48</f>
        <v>14282.48</v>
      </c>
      <c r="D150" s="138">
        <f t="shared" si="4"/>
        <v>9676.119999999999</v>
      </c>
      <c r="E150" s="140">
        <f t="shared" si="5"/>
        <v>0.67748178187541652</v>
      </c>
    </row>
    <row r="151" spans="1:5" x14ac:dyDescent="0.45">
      <c r="A151" s="136" t="s">
        <v>491</v>
      </c>
      <c r="B151" s="137"/>
      <c r="C151" s="138">
        <f>6981.75</f>
        <v>6981.75</v>
      </c>
      <c r="D151" s="138">
        <f t="shared" si="4"/>
        <v>-6981.75</v>
      </c>
      <c r="E151" s="140">
        <f t="shared" si="5"/>
        <v>-1</v>
      </c>
    </row>
    <row r="152" spans="1:5" x14ac:dyDescent="0.45">
      <c r="A152" s="136" t="s">
        <v>190</v>
      </c>
      <c r="B152" s="139">
        <f>((B149)+(B150))+(B151)</f>
        <v>23958.6</v>
      </c>
      <c r="C152" s="139">
        <f>((C149)+(C150))+(C151)</f>
        <v>21264.23</v>
      </c>
      <c r="D152" s="139">
        <f t="shared" si="4"/>
        <v>2694.369999999999</v>
      </c>
      <c r="E152" s="141">
        <f t="shared" si="5"/>
        <v>0.12670903202232101</v>
      </c>
    </row>
    <row r="153" spans="1:5" x14ac:dyDescent="0.45">
      <c r="A153" s="136" t="s">
        <v>191</v>
      </c>
      <c r="B153" s="137"/>
      <c r="C153" s="137"/>
      <c r="D153" s="138">
        <f t="shared" si="4"/>
        <v>0</v>
      </c>
      <c r="E153" s="140" t="str">
        <f t="shared" si="5"/>
        <v/>
      </c>
    </row>
    <row r="154" spans="1:5" x14ac:dyDescent="0.45">
      <c r="A154" s="136" t="s">
        <v>192</v>
      </c>
      <c r="B154" s="138">
        <f>13018.75</f>
        <v>13018.75</v>
      </c>
      <c r="C154" s="138">
        <f>12676</f>
        <v>12676</v>
      </c>
      <c r="D154" s="138">
        <f t="shared" si="4"/>
        <v>342.75</v>
      </c>
      <c r="E154" s="140">
        <f t="shared" si="5"/>
        <v>2.7039286841274851E-2</v>
      </c>
    </row>
    <row r="155" spans="1:5" x14ac:dyDescent="0.45">
      <c r="A155" s="136" t="s">
        <v>435</v>
      </c>
      <c r="B155" s="138">
        <f>2250</f>
        <v>2250</v>
      </c>
      <c r="C155" s="137"/>
      <c r="D155" s="138">
        <f t="shared" si="4"/>
        <v>2250</v>
      </c>
      <c r="E155" s="140" t="str">
        <f t="shared" si="5"/>
        <v/>
      </c>
    </row>
    <row r="156" spans="1:5" x14ac:dyDescent="0.45">
      <c r="A156" s="136" t="s">
        <v>445</v>
      </c>
      <c r="B156" s="138">
        <f>7269.48</f>
        <v>7269.48</v>
      </c>
      <c r="C156" s="138">
        <f>5714.61</f>
        <v>5714.61</v>
      </c>
      <c r="D156" s="138">
        <f t="shared" si="4"/>
        <v>1554.87</v>
      </c>
      <c r="E156" s="140">
        <f t="shared" si="5"/>
        <v>0.27208680907358507</v>
      </c>
    </row>
    <row r="157" spans="1:5" x14ac:dyDescent="0.45">
      <c r="A157" s="136" t="s">
        <v>460</v>
      </c>
      <c r="B157" s="138">
        <f>9905</f>
        <v>9905</v>
      </c>
      <c r="C157" s="137"/>
      <c r="D157" s="138">
        <f t="shared" si="4"/>
        <v>9905</v>
      </c>
      <c r="E157" s="140" t="str">
        <f t="shared" si="5"/>
        <v/>
      </c>
    </row>
    <row r="158" spans="1:5" x14ac:dyDescent="0.45">
      <c r="A158" s="136" t="s">
        <v>193</v>
      </c>
      <c r="B158" s="139">
        <f>((((B153)+(B154))+(B155))+(B156))+(B157)</f>
        <v>32443.23</v>
      </c>
      <c r="C158" s="139">
        <f>((((C153)+(C154))+(C155))+(C156))+(C157)</f>
        <v>18390.61</v>
      </c>
      <c r="D158" s="139">
        <f t="shared" si="4"/>
        <v>14052.619999999999</v>
      </c>
      <c r="E158" s="141">
        <f t="shared" si="5"/>
        <v>0.76411929783732013</v>
      </c>
    </row>
    <row r="159" spans="1:5" x14ac:dyDescent="0.45">
      <c r="A159" s="136" t="s">
        <v>194</v>
      </c>
      <c r="B159" s="139">
        <f>(((((B56)+(B132))+(B135))+(B148))+(B152))+(B158)</f>
        <v>2227232.9199999995</v>
      </c>
      <c r="C159" s="139">
        <f>(((((C56)+(C132))+(C135))+(C148))+(C152))+(C158)</f>
        <v>1663669.8800000011</v>
      </c>
      <c r="D159" s="139">
        <f t="shared" si="4"/>
        <v>563563.03999999841</v>
      </c>
      <c r="E159" s="141">
        <f t="shared" si="5"/>
        <v>0.33874691534356449</v>
      </c>
    </row>
    <row r="160" spans="1:5" x14ac:dyDescent="0.45">
      <c r="A160" s="136" t="s">
        <v>195</v>
      </c>
      <c r="B160" s="137"/>
      <c r="C160" s="137"/>
      <c r="D160" s="138">
        <f t="shared" si="4"/>
        <v>0</v>
      </c>
      <c r="E160" s="140" t="str">
        <f t="shared" si="5"/>
        <v/>
      </c>
    </row>
    <row r="161" spans="1:5" x14ac:dyDescent="0.45">
      <c r="A161" s="136" t="s">
        <v>196</v>
      </c>
      <c r="B161" s="137"/>
      <c r="C161" s="137"/>
      <c r="D161" s="138">
        <f t="shared" si="4"/>
        <v>0</v>
      </c>
      <c r="E161" s="140" t="str">
        <f t="shared" si="5"/>
        <v/>
      </c>
    </row>
    <row r="162" spans="1:5" x14ac:dyDescent="0.45">
      <c r="A162" s="136" t="s">
        <v>197</v>
      </c>
      <c r="B162" s="138">
        <f>6830.63</f>
        <v>6830.63</v>
      </c>
      <c r="C162" s="138">
        <f>2182.37</f>
        <v>2182.37</v>
      </c>
      <c r="D162" s="138">
        <f t="shared" si="4"/>
        <v>4648.26</v>
      </c>
      <c r="E162" s="140">
        <f t="shared" si="5"/>
        <v>2.1299138092990648</v>
      </c>
    </row>
    <row r="163" spans="1:5" x14ac:dyDescent="0.45">
      <c r="A163" s="136" t="s">
        <v>198</v>
      </c>
      <c r="B163" s="138">
        <f>3475.6</f>
        <v>3475.6</v>
      </c>
      <c r="C163" s="138">
        <f>3935.36</f>
        <v>3935.36</v>
      </c>
      <c r="D163" s="138">
        <f t="shared" si="4"/>
        <v>-459.76000000000022</v>
      </c>
      <c r="E163" s="140">
        <f t="shared" si="5"/>
        <v>-0.11682793950235816</v>
      </c>
    </row>
    <row r="164" spans="1:5" x14ac:dyDescent="0.45">
      <c r="A164" s="136" t="s">
        <v>199</v>
      </c>
      <c r="B164" s="138">
        <f>2307.72</f>
        <v>2307.7199999999998</v>
      </c>
      <c r="C164" s="138">
        <f>2971.42</f>
        <v>2971.42</v>
      </c>
      <c r="D164" s="138">
        <f t="shared" si="4"/>
        <v>-663.70000000000027</v>
      </c>
      <c r="E164" s="140">
        <f t="shared" si="5"/>
        <v>-0.22336122123429211</v>
      </c>
    </row>
    <row r="165" spans="1:5" x14ac:dyDescent="0.45">
      <c r="A165" s="136" t="s">
        <v>200</v>
      </c>
      <c r="B165" s="138">
        <f>5053.14</f>
        <v>5053.1400000000003</v>
      </c>
      <c r="C165" s="138">
        <f>6644.36</f>
        <v>6644.36</v>
      </c>
      <c r="D165" s="138">
        <f t="shared" si="4"/>
        <v>-1591.2199999999993</v>
      </c>
      <c r="E165" s="140">
        <f t="shared" si="5"/>
        <v>-0.2394843145163717</v>
      </c>
    </row>
    <row r="166" spans="1:5" x14ac:dyDescent="0.45">
      <c r="A166" s="136" t="s">
        <v>201</v>
      </c>
      <c r="B166" s="137"/>
      <c r="C166" s="137"/>
      <c r="D166" s="138">
        <f t="shared" si="4"/>
        <v>0</v>
      </c>
      <c r="E166" s="140" t="str">
        <f t="shared" si="5"/>
        <v/>
      </c>
    </row>
    <row r="167" spans="1:5" x14ac:dyDescent="0.45">
      <c r="A167" s="136" t="s">
        <v>202</v>
      </c>
      <c r="B167" s="138">
        <f>6717.06</f>
        <v>6717.06</v>
      </c>
      <c r="C167" s="138">
        <f>3704.79</f>
        <v>3704.79</v>
      </c>
      <c r="D167" s="138">
        <f t="shared" si="4"/>
        <v>3012.2700000000004</v>
      </c>
      <c r="E167" s="140">
        <f t="shared" si="5"/>
        <v>0.8130744252710681</v>
      </c>
    </row>
    <row r="168" spans="1:5" x14ac:dyDescent="0.45">
      <c r="A168" s="136" t="s">
        <v>203</v>
      </c>
      <c r="B168" s="138">
        <f>702.51</f>
        <v>702.51</v>
      </c>
      <c r="C168" s="138">
        <f>282.99</f>
        <v>282.99</v>
      </c>
      <c r="D168" s="138">
        <f t="shared" si="4"/>
        <v>419.52</v>
      </c>
      <c r="E168" s="140">
        <f t="shared" si="5"/>
        <v>1.4824552104314639</v>
      </c>
    </row>
    <row r="169" spans="1:5" x14ac:dyDescent="0.45">
      <c r="A169" s="136" t="s">
        <v>204</v>
      </c>
      <c r="B169" s="139">
        <f>((B166)+(B167))+(B168)</f>
        <v>7419.5700000000006</v>
      </c>
      <c r="C169" s="139">
        <f>((C166)+(C167))+(C168)</f>
        <v>3987.7799999999997</v>
      </c>
      <c r="D169" s="139">
        <f t="shared" si="4"/>
        <v>3431.7900000000009</v>
      </c>
      <c r="E169" s="141">
        <f t="shared" si="5"/>
        <v>0.86057656139506222</v>
      </c>
    </row>
    <row r="170" spans="1:5" x14ac:dyDescent="0.45">
      <c r="A170" s="136" t="s">
        <v>205</v>
      </c>
      <c r="B170" s="137"/>
      <c r="C170" s="137"/>
      <c r="D170" s="138">
        <f t="shared" si="4"/>
        <v>0</v>
      </c>
      <c r="E170" s="140" t="str">
        <f t="shared" si="5"/>
        <v/>
      </c>
    </row>
    <row r="171" spans="1:5" x14ac:dyDescent="0.45">
      <c r="A171" s="136" t="s">
        <v>206</v>
      </c>
      <c r="B171" s="138">
        <f>3872.86</f>
        <v>3872.86</v>
      </c>
      <c r="C171" s="138">
        <f>1516.12</f>
        <v>1516.12</v>
      </c>
      <c r="D171" s="138">
        <f t="shared" si="4"/>
        <v>2356.7400000000002</v>
      </c>
      <c r="E171" s="140">
        <f t="shared" si="5"/>
        <v>1.5544547924966363</v>
      </c>
    </row>
    <row r="172" spans="1:5" x14ac:dyDescent="0.45">
      <c r="A172" s="136" t="s">
        <v>207</v>
      </c>
      <c r="B172" s="138">
        <f>22023.34</f>
        <v>22023.34</v>
      </c>
      <c r="C172" s="138">
        <f>13069.12</f>
        <v>13069.12</v>
      </c>
      <c r="D172" s="138">
        <f t="shared" si="4"/>
        <v>8954.2199999999993</v>
      </c>
      <c r="E172" s="140">
        <f t="shared" si="5"/>
        <v>0.68514329962537635</v>
      </c>
    </row>
    <row r="173" spans="1:5" x14ac:dyDescent="0.45">
      <c r="A173" s="136" t="s">
        <v>208</v>
      </c>
      <c r="B173" s="138">
        <f>6878.47</f>
        <v>6878.47</v>
      </c>
      <c r="C173" s="138">
        <f>5371.58</f>
        <v>5371.58</v>
      </c>
      <c r="D173" s="138">
        <f t="shared" si="4"/>
        <v>1506.8900000000003</v>
      </c>
      <c r="E173" s="140">
        <f t="shared" si="5"/>
        <v>0.28053012335290556</v>
      </c>
    </row>
    <row r="174" spans="1:5" x14ac:dyDescent="0.45">
      <c r="A174" s="136" t="s">
        <v>209</v>
      </c>
      <c r="B174" s="138">
        <f>33113.35</f>
        <v>33113.35</v>
      </c>
      <c r="C174" s="138">
        <f>24611.76</f>
        <v>24611.759999999998</v>
      </c>
      <c r="D174" s="138">
        <f t="shared" si="4"/>
        <v>8501.59</v>
      </c>
      <c r="E174" s="140">
        <f t="shared" si="5"/>
        <v>0.34542795801681803</v>
      </c>
    </row>
    <row r="175" spans="1:5" x14ac:dyDescent="0.45">
      <c r="A175" s="136" t="s">
        <v>210</v>
      </c>
      <c r="B175" s="139">
        <f>((((B170)+(B171))+(B172))+(B173))+(B174)</f>
        <v>65888.01999999999</v>
      </c>
      <c r="C175" s="139">
        <f>((((C170)+(C171))+(C172))+(C173))+(C174)</f>
        <v>44568.58</v>
      </c>
      <c r="D175" s="139">
        <f t="shared" si="4"/>
        <v>21319.439999999988</v>
      </c>
      <c r="E175" s="141">
        <f t="shared" si="5"/>
        <v>0.47835134078761288</v>
      </c>
    </row>
    <row r="176" spans="1:5" x14ac:dyDescent="0.45">
      <c r="A176" s="136" t="s">
        <v>211</v>
      </c>
      <c r="B176" s="137"/>
      <c r="C176" s="137"/>
      <c r="D176" s="138">
        <f t="shared" si="4"/>
        <v>0</v>
      </c>
      <c r="E176" s="140" t="str">
        <f t="shared" si="5"/>
        <v/>
      </c>
    </row>
    <row r="177" spans="1:5" x14ac:dyDescent="0.45">
      <c r="A177" s="136" t="s">
        <v>212</v>
      </c>
      <c r="B177" s="138">
        <f>2923.45</f>
        <v>2923.45</v>
      </c>
      <c r="C177" s="138">
        <f>4347.21</f>
        <v>4347.21</v>
      </c>
      <c r="D177" s="138">
        <f t="shared" si="4"/>
        <v>-1423.7600000000002</v>
      </c>
      <c r="E177" s="140">
        <f t="shared" si="5"/>
        <v>-0.32751120833822156</v>
      </c>
    </row>
    <row r="178" spans="1:5" x14ac:dyDescent="0.45">
      <c r="A178" s="136" t="s">
        <v>213</v>
      </c>
      <c r="B178" s="138">
        <f>6284.2</f>
        <v>6284.2</v>
      </c>
      <c r="C178" s="138">
        <f>2244</f>
        <v>2244</v>
      </c>
      <c r="D178" s="138">
        <f t="shared" si="4"/>
        <v>4040.2</v>
      </c>
      <c r="E178" s="140">
        <f t="shared" si="5"/>
        <v>1.8004456327985738</v>
      </c>
    </row>
    <row r="179" spans="1:5" x14ac:dyDescent="0.45">
      <c r="A179" s="136" t="s">
        <v>214</v>
      </c>
      <c r="B179" s="138">
        <f>281.17</f>
        <v>281.17</v>
      </c>
      <c r="C179" s="138">
        <f>863.26</f>
        <v>863.26</v>
      </c>
      <c r="D179" s="138">
        <f t="shared" si="4"/>
        <v>-582.08999999999992</v>
      </c>
      <c r="E179" s="140">
        <f t="shared" si="5"/>
        <v>-0.67429279707156586</v>
      </c>
    </row>
    <row r="180" spans="1:5" x14ac:dyDescent="0.45">
      <c r="A180" s="136" t="s">
        <v>446</v>
      </c>
      <c r="B180" s="138">
        <f>1475.85</f>
        <v>1475.85</v>
      </c>
      <c r="C180" s="137"/>
      <c r="D180" s="138">
        <f t="shared" si="4"/>
        <v>1475.85</v>
      </c>
      <c r="E180" s="140" t="str">
        <f t="shared" si="5"/>
        <v/>
      </c>
    </row>
    <row r="181" spans="1:5" x14ac:dyDescent="0.45">
      <c r="A181" s="136" t="s">
        <v>215</v>
      </c>
      <c r="B181" s="138">
        <f>1463.13</f>
        <v>1463.13</v>
      </c>
      <c r="C181" s="138">
        <f>1755.14</f>
        <v>1755.14</v>
      </c>
      <c r="D181" s="138">
        <f t="shared" si="4"/>
        <v>-292.01</v>
      </c>
      <c r="E181" s="140">
        <f t="shared" si="5"/>
        <v>-0.16637419237211845</v>
      </c>
    </row>
    <row r="182" spans="1:5" x14ac:dyDescent="0.45">
      <c r="A182" s="136" t="s">
        <v>216</v>
      </c>
      <c r="B182" s="138">
        <f>3917.89</f>
        <v>3917.89</v>
      </c>
      <c r="C182" s="138">
        <f>2570.07</f>
        <v>2570.0700000000002</v>
      </c>
      <c r="D182" s="138">
        <f t="shared" si="4"/>
        <v>1347.8199999999997</v>
      </c>
      <c r="E182" s="140">
        <f t="shared" si="5"/>
        <v>0.52442929570011698</v>
      </c>
    </row>
    <row r="183" spans="1:5" x14ac:dyDescent="0.45">
      <c r="A183" s="136" t="s">
        <v>217</v>
      </c>
      <c r="B183" s="139">
        <f>((((((B176)+(B177))+(B178))+(B179))+(B180))+(B181))+(B182)</f>
        <v>16345.689999999999</v>
      </c>
      <c r="C183" s="139">
        <f>((((((C176)+(C177))+(C178))+(C179))+(C180))+(C181))+(C182)</f>
        <v>11779.68</v>
      </c>
      <c r="D183" s="139">
        <f t="shared" si="4"/>
        <v>4566.0099999999984</v>
      </c>
      <c r="E183" s="141">
        <f t="shared" si="5"/>
        <v>0.38761749045814475</v>
      </c>
    </row>
    <row r="184" spans="1:5" x14ac:dyDescent="0.45">
      <c r="A184" s="136" t="s">
        <v>218</v>
      </c>
      <c r="B184" s="137"/>
      <c r="C184" s="137"/>
      <c r="D184" s="138">
        <f t="shared" ref="D184:D247" si="6">(B184)-(C184)</f>
        <v>0</v>
      </c>
      <c r="E184" s="140" t="str">
        <f t="shared" ref="E184:E247" si="7">IF(ABS((C184))=0,"",((B184)-(C184))/(ABS((C184))))</f>
        <v/>
      </c>
    </row>
    <row r="185" spans="1:5" x14ac:dyDescent="0.45">
      <c r="A185" s="136" t="s">
        <v>219</v>
      </c>
      <c r="B185" s="138">
        <f>328.66</f>
        <v>328.66</v>
      </c>
      <c r="C185" s="138">
        <f>2088.45</f>
        <v>2088.4499999999998</v>
      </c>
      <c r="D185" s="138">
        <f t="shared" si="6"/>
        <v>-1759.7899999999997</v>
      </c>
      <c r="E185" s="140">
        <f t="shared" si="7"/>
        <v>-0.84262970145323079</v>
      </c>
    </row>
    <row r="186" spans="1:5" x14ac:dyDescent="0.45">
      <c r="A186" s="136" t="s">
        <v>220</v>
      </c>
      <c r="B186" s="138">
        <f>9831.13</f>
        <v>9831.1299999999992</v>
      </c>
      <c r="C186" s="138">
        <f>10439.94</f>
        <v>10439.94</v>
      </c>
      <c r="D186" s="138">
        <f t="shared" si="6"/>
        <v>-608.81000000000131</v>
      </c>
      <c r="E186" s="140">
        <f t="shared" si="7"/>
        <v>-5.8315469245991958E-2</v>
      </c>
    </row>
    <row r="187" spans="1:5" x14ac:dyDescent="0.45">
      <c r="A187" s="136" t="s">
        <v>221</v>
      </c>
      <c r="B187" s="138">
        <f>957.75</f>
        <v>957.75</v>
      </c>
      <c r="C187" s="138">
        <f>1199.44</f>
        <v>1199.44</v>
      </c>
      <c r="D187" s="138">
        <f t="shared" si="6"/>
        <v>-241.69000000000005</v>
      </c>
      <c r="E187" s="140">
        <f t="shared" si="7"/>
        <v>-0.20150236777162681</v>
      </c>
    </row>
    <row r="188" spans="1:5" x14ac:dyDescent="0.45">
      <c r="A188" s="136" t="s">
        <v>222</v>
      </c>
      <c r="B188" s="138">
        <f>3427.94</f>
        <v>3427.94</v>
      </c>
      <c r="C188" s="138">
        <f>40480.8</f>
        <v>40480.800000000003</v>
      </c>
      <c r="D188" s="138">
        <f t="shared" si="6"/>
        <v>-37052.86</v>
      </c>
      <c r="E188" s="140">
        <f t="shared" si="7"/>
        <v>-0.91531936127744506</v>
      </c>
    </row>
    <row r="189" spans="1:5" x14ac:dyDescent="0.45">
      <c r="A189" s="136" t="s">
        <v>223</v>
      </c>
      <c r="B189" s="138">
        <f>1715</f>
        <v>1715</v>
      </c>
      <c r="C189" s="138">
        <f>8120</f>
        <v>8120</v>
      </c>
      <c r="D189" s="138">
        <f t="shared" si="6"/>
        <v>-6405</v>
      </c>
      <c r="E189" s="140">
        <f t="shared" si="7"/>
        <v>-0.78879310344827591</v>
      </c>
    </row>
    <row r="190" spans="1:5" x14ac:dyDescent="0.45">
      <c r="A190" s="136" t="s">
        <v>472</v>
      </c>
      <c r="B190" s="138">
        <f>19877.77</f>
        <v>19877.77</v>
      </c>
      <c r="C190" s="137"/>
      <c r="D190" s="138">
        <f t="shared" si="6"/>
        <v>19877.77</v>
      </c>
      <c r="E190" s="140" t="str">
        <f t="shared" si="7"/>
        <v/>
      </c>
    </row>
    <row r="191" spans="1:5" x14ac:dyDescent="0.45">
      <c r="A191" s="136" t="s">
        <v>473</v>
      </c>
      <c r="B191" s="138">
        <f>5308.98</f>
        <v>5308.98</v>
      </c>
      <c r="C191" s="137"/>
      <c r="D191" s="138">
        <f t="shared" si="6"/>
        <v>5308.98</v>
      </c>
      <c r="E191" s="140" t="str">
        <f t="shared" si="7"/>
        <v/>
      </c>
    </row>
    <row r="192" spans="1:5" x14ac:dyDescent="0.45">
      <c r="A192" s="136" t="s">
        <v>474</v>
      </c>
      <c r="B192" s="138">
        <f>26946.03</f>
        <v>26946.03</v>
      </c>
      <c r="C192" s="137"/>
      <c r="D192" s="138">
        <f t="shared" si="6"/>
        <v>26946.03</v>
      </c>
      <c r="E192" s="140" t="str">
        <f t="shared" si="7"/>
        <v/>
      </c>
    </row>
    <row r="193" spans="1:5" x14ac:dyDescent="0.45">
      <c r="A193" s="136" t="s">
        <v>475</v>
      </c>
      <c r="B193" s="138">
        <f>2697.46</f>
        <v>2697.46</v>
      </c>
      <c r="C193" s="137"/>
      <c r="D193" s="138">
        <f t="shared" si="6"/>
        <v>2697.46</v>
      </c>
      <c r="E193" s="140" t="str">
        <f t="shared" si="7"/>
        <v/>
      </c>
    </row>
    <row r="194" spans="1:5" x14ac:dyDescent="0.45">
      <c r="A194" s="136" t="s">
        <v>476</v>
      </c>
      <c r="B194" s="138">
        <f>4658.56</f>
        <v>4658.5600000000004</v>
      </c>
      <c r="C194" s="137"/>
      <c r="D194" s="138">
        <f t="shared" si="6"/>
        <v>4658.5600000000004</v>
      </c>
      <c r="E194" s="140" t="str">
        <f t="shared" si="7"/>
        <v/>
      </c>
    </row>
    <row r="195" spans="1:5" x14ac:dyDescent="0.45">
      <c r="A195" s="136" t="s">
        <v>224</v>
      </c>
      <c r="B195" s="139">
        <f>((((((((((B184)+(B185))+(B186))+(B187))+(B188))+(B189))+(B190))+(B191))+(B192))+(B193))+(B194)</f>
        <v>75749.279999999999</v>
      </c>
      <c r="C195" s="139">
        <f>((((((((((C184)+(C185))+(C186))+(C187))+(C188))+(C189))+(C190))+(C191))+(C192))+(C193))+(C194)</f>
        <v>62328.630000000005</v>
      </c>
      <c r="D195" s="139">
        <f t="shared" si="6"/>
        <v>13420.649999999994</v>
      </c>
      <c r="E195" s="141">
        <f t="shared" si="7"/>
        <v>0.21532079238706181</v>
      </c>
    </row>
    <row r="196" spans="1:5" x14ac:dyDescent="0.45">
      <c r="A196" s="136" t="s">
        <v>225</v>
      </c>
      <c r="B196" s="137"/>
      <c r="C196" s="138">
        <f>3342.84</f>
        <v>3342.84</v>
      </c>
      <c r="D196" s="138">
        <f t="shared" si="6"/>
        <v>-3342.84</v>
      </c>
      <c r="E196" s="140">
        <f t="shared" si="7"/>
        <v>-1</v>
      </c>
    </row>
    <row r="197" spans="1:5" ht="21.4" x14ac:dyDescent="0.45">
      <c r="A197" s="136" t="s">
        <v>226</v>
      </c>
      <c r="B197" s="138">
        <f>980525.54</f>
        <v>980525.54</v>
      </c>
      <c r="C197" s="138">
        <f>1081362.09</f>
        <v>1081362.0900000001</v>
      </c>
      <c r="D197" s="138">
        <f t="shared" si="6"/>
        <v>-100836.55000000005</v>
      </c>
      <c r="E197" s="140">
        <f t="shared" si="7"/>
        <v>-9.3249570086186437E-2</v>
      </c>
    </row>
    <row r="198" spans="1:5" x14ac:dyDescent="0.45">
      <c r="A198" s="136" t="s">
        <v>227</v>
      </c>
      <c r="B198" s="138">
        <f>6294.54</f>
        <v>6294.54</v>
      </c>
      <c r="C198" s="138">
        <f>3053.34</f>
        <v>3053.34</v>
      </c>
      <c r="D198" s="138">
        <f t="shared" si="6"/>
        <v>3241.2</v>
      </c>
      <c r="E198" s="140">
        <f t="shared" si="7"/>
        <v>1.0615260665369726</v>
      </c>
    </row>
    <row r="199" spans="1:5" x14ac:dyDescent="0.45">
      <c r="A199" s="136" t="s">
        <v>492</v>
      </c>
      <c r="B199" s="137"/>
      <c r="C199" s="138">
        <f>2095.75</f>
        <v>2095.75</v>
      </c>
      <c r="D199" s="138">
        <f t="shared" si="6"/>
        <v>-2095.75</v>
      </c>
      <c r="E199" s="140">
        <f t="shared" si="7"/>
        <v>-1</v>
      </c>
    </row>
    <row r="200" spans="1:5" x14ac:dyDescent="0.45">
      <c r="A200" s="136" t="s">
        <v>228</v>
      </c>
      <c r="B200" s="138">
        <f>18000</f>
        <v>18000</v>
      </c>
      <c r="C200" s="138">
        <f>16000</f>
        <v>16000</v>
      </c>
      <c r="D200" s="138">
        <f t="shared" si="6"/>
        <v>2000</v>
      </c>
      <c r="E200" s="140">
        <f t="shared" si="7"/>
        <v>0.125</v>
      </c>
    </row>
    <row r="201" spans="1:5" x14ac:dyDescent="0.45">
      <c r="A201" s="136" t="s">
        <v>229</v>
      </c>
      <c r="B201" s="139">
        <f>(((((((((((((B161)+(B162))+(B163))+(B164))+(B165))+(B169))+(B175))+(B183))+(B195))+(B196))+(B197))+(B198))+(B199))+(B200)</f>
        <v>1187889.73</v>
      </c>
      <c r="C201" s="139">
        <f>(((((((((((((C161)+(C162))+(C163))+(C164))+(C165))+(C169))+(C175))+(C183))+(C195))+(C196))+(C197))+(C198))+(C199))+(C200)</f>
        <v>1244252.2000000002</v>
      </c>
      <c r="D201" s="139">
        <f t="shared" si="6"/>
        <v>-56362.470000000205</v>
      </c>
      <c r="E201" s="141">
        <f t="shared" si="7"/>
        <v>-4.5298268309270577E-2</v>
      </c>
    </row>
    <row r="202" spans="1:5" x14ac:dyDescent="0.45">
      <c r="A202" s="136" t="s">
        <v>230</v>
      </c>
      <c r="B202" s="137"/>
      <c r="C202" s="137"/>
      <c r="D202" s="138">
        <f t="shared" si="6"/>
        <v>0</v>
      </c>
      <c r="E202" s="140" t="str">
        <f t="shared" si="7"/>
        <v/>
      </c>
    </row>
    <row r="203" spans="1:5" x14ac:dyDescent="0.45">
      <c r="A203" s="136" t="s">
        <v>231</v>
      </c>
      <c r="B203" s="138">
        <f>79427.2</f>
        <v>79427.199999999997</v>
      </c>
      <c r="C203" s="138">
        <f>77065.08</f>
        <v>77065.08</v>
      </c>
      <c r="D203" s="138">
        <f t="shared" si="6"/>
        <v>2362.1199999999953</v>
      </c>
      <c r="E203" s="140">
        <f t="shared" si="7"/>
        <v>3.0650977070289104E-2</v>
      </c>
    </row>
    <row r="204" spans="1:5" x14ac:dyDescent="0.45">
      <c r="A204" s="136" t="s">
        <v>232</v>
      </c>
      <c r="B204" s="138">
        <f>2065.3</f>
        <v>2065.3000000000002</v>
      </c>
      <c r="C204" s="138">
        <f>2163.19</f>
        <v>2163.19</v>
      </c>
      <c r="D204" s="138">
        <f t="shared" si="6"/>
        <v>-97.889999999999873</v>
      </c>
      <c r="E204" s="140">
        <f t="shared" si="7"/>
        <v>-4.5252613039076489E-2</v>
      </c>
    </row>
    <row r="205" spans="1:5" x14ac:dyDescent="0.45">
      <c r="A205" s="136" t="s">
        <v>233</v>
      </c>
      <c r="B205" s="138">
        <f>5595.61</f>
        <v>5595.61</v>
      </c>
      <c r="C205" s="138">
        <f>6037.06</f>
        <v>6037.06</v>
      </c>
      <c r="D205" s="138">
        <f t="shared" si="6"/>
        <v>-441.45000000000073</v>
      </c>
      <c r="E205" s="140">
        <f t="shared" si="7"/>
        <v>-7.312334149403861E-2</v>
      </c>
    </row>
    <row r="206" spans="1:5" x14ac:dyDescent="0.45">
      <c r="A206" s="136" t="s">
        <v>234</v>
      </c>
      <c r="B206" s="139">
        <f>(((B202)+(B203))+(B204))+(B205)</f>
        <v>87088.11</v>
      </c>
      <c r="C206" s="139">
        <f>(((C202)+(C203))+(C204))+(C205)</f>
        <v>85265.33</v>
      </c>
      <c r="D206" s="139">
        <f t="shared" si="6"/>
        <v>1822.7799999999988</v>
      </c>
      <c r="E206" s="141">
        <f t="shared" si="7"/>
        <v>2.137773934610936E-2</v>
      </c>
    </row>
    <row r="207" spans="1:5" x14ac:dyDescent="0.45">
      <c r="A207" s="136" t="s">
        <v>235</v>
      </c>
      <c r="B207" s="137"/>
      <c r="C207" s="137"/>
      <c r="D207" s="138">
        <f t="shared" si="6"/>
        <v>0</v>
      </c>
      <c r="E207" s="140" t="str">
        <f t="shared" si="7"/>
        <v/>
      </c>
    </row>
    <row r="208" spans="1:5" x14ac:dyDescent="0.45">
      <c r="A208" s="136" t="s">
        <v>236</v>
      </c>
      <c r="B208" s="138">
        <f>13666.66</f>
        <v>13666.66</v>
      </c>
      <c r="C208" s="138">
        <f>14586.64</f>
        <v>14586.64</v>
      </c>
      <c r="D208" s="138">
        <f t="shared" si="6"/>
        <v>-919.97999999999956</v>
      </c>
      <c r="E208" s="140">
        <f t="shared" si="7"/>
        <v>-6.3070042175579821E-2</v>
      </c>
    </row>
    <row r="209" spans="1:5" x14ac:dyDescent="0.45">
      <c r="A209" s="136" t="s">
        <v>237</v>
      </c>
      <c r="B209" s="138">
        <f>2160</f>
        <v>2160</v>
      </c>
      <c r="C209" s="138">
        <f>3283.78</f>
        <v>3283.78</v>
      </c>
      <c r="D209" s="138">
        <f t="shared" si="6"/>
        <v>-1123.7800000000002</v>
      </c>
      <c r="E209" s="140">
        <f t="shared" si="7"/>
        <v>-0.34222146428810701</v>
      </c>
    </row>
    <row r="210" spans="1:5" x14ac:dyDescent="0.45">
      <c r="A210" s="136" t="s">
        <v>238</v>
      </c>
      <c r="B210" s="138">
        <f>345.82</f>
        <v>345.82</v>
      </c>
      <c r="C210" s="138">
        <f>305.8</f>
        <v>305.8</v>
      </c>
      <c r="D210" s="138">
        <f t="shared" si="6"/>
        <v>40.019999999999982</v>
      </c>
      <c r="E210" s="140">
        <f t="shared" si="7"/>
        <v>0.13086984957488548</v>
      </c>
    </row>
    <row r="211" spans="1:5" x14ac:dyDescent="0.45">
      <c r="A211" s="136" t="s">
        <v>239</v>
      </c>
      <c r="B211" s="138">
        <f>10538.91</f>
        <v>10538.91</v>
      </c>
      <c r="C211" s="138">
        <f>3673.19</f>
        <v>3673.19</v>
      </c>
      <c r="D211" s="138">
        <f t="shared" si="6"/>
        <v>6865.7199999999993</v>
      </c>
      <c r="E211" s="140">
        <f t="shared" si="7"/>
        <v>1.8691437143191612</v>
      </c>
    </row>
    <row r="212" spans="1:5" x14ac:dyDescent="0.45">
      <c r="A212" s="136" t="s">
        <v>240</v>
      </c>
      <c r="B212" s="138">
        <f>754.25</f>
        <v>754.25</v>
      </c>
      <c r="C212" s="138">
        <f>720.15</f>
        <v>720.15</v>
      </c>
      <c r="D212" s="138">
        <f t="shared" si="6"/>
        <v>34.100000000000023</v>
      </c>
      <c r="E212" s="140">
        <f t="shared" si="7"/>
        <v>4.7351246268138615E-2</v>
      </c>
    </row>
    <row r="213" spans="1:5" x14ac:dyDescent="0.45">
      <c r="A213" s="136" t="s">
        <v>241</v>
      </c>
      <c r="B213" s="138">
        <f>6464.79</f>
        <v>6464.79</v>
      </c>
      <c r="C213" s="138">
        <f>5371.94</f>
        <v>5371.94</v>
      </c>
      <c r="D213" s="138">
        <f t="shared" si="6"/>
        <v>1092.8500000000004</v>
      </c>
      <c r="E213" s="140">
        <f t="shared" si="7"/>
        <v>0.20343674724587402</v>
      </c>
    </row>
    <row r="214" spans="1:5" x14ac:dyDescent="0.45">
      <c r="A214" s="136" t="s">
        <v>242</v>
      </c>
      <c r="B214" s="139">
        <f>((((((B207)+(B208))+(B209))+(B210))+(B211))+(B212))+(B213)</f>
        <v>33930.43</v>
      </c>
      <c r="C214" s="139">
        <f>((((((C207)+(C208))+(C209))+(C210))+(C211))+(C212))+(C213)</f>
        <v>27941.499999999996</v>
      </c>
      <c r="D214" s="139">
        <f t="shared" si="6"/>
        <v>5988.9300000000039</v>
      </c>
      <c r="E214" s="141">
        <f t="shared" si="7"/>
        <v>0.21433817082118015</v>
      </c>
    </row>
    <row r="215" spans="1:5" x14ac:dyDescent="0.45">
      <c r="A215" s="136" t="s">
        <v>243</v>
      </c>
      <c r="B215" s="137"/>
      <c r="C215" s="137"/>
      <c r="D215" s="138">
        <f t="shared" si="6"/>
        <v>0</v>
      </c>
      <c r="E215" s="140" t="str">
        <f t="shared" si="7"/>
        <v/>
      </c>
    </row>
    <row r="216" spans="1:5" x14ac:dyDescent="0.45">
      <c r="A216" s="136" t="s">
        <v>244</v>
      </c>
      <c r="B216" s="138">
        <f>3192.51</f>
        <v>3192.51</v>
      </c>
      <c r="C216" s="138">
        <f>6011.06</f>
        <v>6011.06</v>
      </c>
      <c r="D216" s="138">
        <f t="shared" si="6"/>
        <v>-2818.55</v>
      </c>
      <c r="E216" s="140">
        <f t="shared" si="7"/>
        <v>-0.46889400538340992</v>
      </c>
    </row>
    <row r="217" spans="1:5" x14ac:dyDescent="0.45">
      <c r="A217" s="136" t="s">
        <v>245</v>
      </c>
      <c r="B217" s="138">
        <f>4915.88</f>
        <v>4915.88</v>
      </c>
      <c r="C217" s="138">
        <f>3089.32</f>
        <v>3089.32</v>
      </c>
      <c r="D217" s="138">
        <f t="shared" si="6"/>
        <v>1826.56</v>
      </c>
      <c r="E217" s="140">
        <f t="shared" si="7"/>
        <v>0.59124985433687671</v>
      </c>
    </row>
    <row r="218" spans="1:5" x14ac:dyDescent="0.45">
      <c r="A218" s="136" t="s">
        <v>246</v>
      </c>
      <c r="B218" s="138">
        <f>2298.92</f>
        <v>2298.92</v>
      </c>
      <c r="C218" s="138">
        <f>1883.64</f>
        <v>1883.64</v>
      </c>
      <c r="D218" s="138">
        <f t="shared" si="6"/>
        <v>415.28</v>
      </c>
      <c r="E218" s="140">
        <f t="shared" si="7"/>
        <v>0.22046675585568365</v>
      </c>
    </row>
    <row r="219" spans="1:5" x14ac:dyDescent="0.45">
      <c r="A219" s="136" t="s">
        <v>247</v>
      </c>
      <c r="B219" s="137"/>
      <c r="C219" s="138">
        <f>1800</f>
        <v>1800</v>
      </c>
      <c r="D219" s="138">
        <f t="shared" si="6"/>
        <v>-1800</v>
      </c>
      <c r="E219" s="140">
        <f t="shared" si="7"/>
        <v>-1</v>
      </c>
    </row>
    <row r="220" spans="1:5" x14ac:dyDescent="0.45">
      <c r="A220" s="136" t="s">
        <v>248</v>
      </c>
      <c r="B220" s="139">
        <f>((((B215)+(B216))+(B217))+(B218))+(B219)</f>
        <v>10407.310000000001</v>
      </c>
      <c r="C220" s="139">
        <f>((((C215)+(C216))+(C217))+(C218))+(C219)</f>
        <v>12784.02</v>
      </c>
      <c r="D220" s="139">
        <f t="shared" si="6"/>
        <v>-2376.7099999999991</v>
      </c>
      <c r="E220" s="141">
        <f t="shared" si="7"/>
        <v>-0.18591256897282693</v>
      </c>
    </row>
    <row r="221" spans="1:5" x14ac:dyDescent="0.45">
      <c r="A221" s="136" t="s">
        <v>249</v>
      </c>
      <c r="B221" s="137"/>
      <c r="C221" s="137"/>
      <c r="D221" s="138">
        <f t="shared" si="6"/>
        <v>0</v>
      </c>
      <c r="E221" s="140" t="str">
        <f t="shared" si="7"/>
        <v/>
      </c>
    </row>
    <row r="222" spans="1:5" x14ac:dyDescent="0.45">
      <c r="A222" s="136" t="s">
        <v>250</v>
      </c>
      <c r="B222" s="138">
        <f>617917.63</f>
        <v>617917.63</v>
      </c>
      <c r="C222" s="138">
        <f>13191.76</f>
        <v>13191.76</v>
      </c>
      <c r="D222" s="138">
        <f t="shared" si="6"/>
        <v>604725.87</v>
      </c>
      <c r="E222" s="140">
        <f t="shared" si="7"/>
        <v>45.841181919622549</v>
      </c>
    </row>
    <row r="223" spans="1:5" x14ac:dyDescent="0.45">
      <c r="A223" s="136" t="s">
        <v>251</v>
      </c>
      <c r="B223" s="138">
        <f>7984.08</f>
        <v>7984.08</v>
      </c>
      <c r="C223" s="138">
        <f>12977.08</f>
        <v>12977.08</v>
      </c>
      <c r="D223" s="138">
        <f t="shared" si="6"/>
        <v>-4993</v>
      </c>
      <c r="E223" s="140">
        <f t="shared" si="7"/>
        <v>-0.38475527622546829</v>
      </c>
    </row>
    <row r="224" spans="1:5" x14ac:dyDescent="0.45">
      <c r="A224" s="136" t="s">
        <v>252</v>
      </c>
      <c r="B224" s="138">
        <f>39190.73</f>
        <v>39190.730000000003</v>
      </c>
      <c r="C224" s="138">
        <f>2251.33</f>
        <v>2251.33</v>
      </c>
      <c r="D224" s="138">
        <f t="shared" si="6"/>
        <v>36939.4</v>
      </c>
      <c r="E224" s="140">
        <f t="shared" si="7"/>
        <v>16.407812270968716</v>
      </c>
    </row>
    <row r="225" spans="1:5" x14ac:dyDescent="0.45">
      <c r="A225" s="136" t="s">
        <v>253</v>
      </c>
      <c r="B225" s="139">
        <f>(((B221)+(B222))+(B223))+(B224)</f>
        <v>665092.43999999994</v>
      </c>
      <c r="C225" s="139">
        <f>(((C221)+(C222))+(C223))+(C224)</f>
        <v>28420.17</v>
      </c>
      <c r="D225" s="139">
        <f t="shared" si="6"/>
        <v>636672.2699999999</v>
      </c>
      <c r="E225" s="141">
        <f t="shared" si="7"/>
        <v>22.40212743273527</v>
      </c>
    </row>
    <row r="226" spans="1:5" x14ac:dyDescent="0.45">
      <c r="A226" s="136" t="s">
        <v>254</v>
      </c>
      <c r="B226" s="138">
        <f>13805.22</f>
        <v>13805.22</v>
      </c>
      <c r="C226" s="138">
        <f>12336.13</f>
        <v>12336.13</v>
      </c>
      <c r="D226" s="138">
        <f t="shared" si="6"/>
        <v>1469.0900000000001</v>
      </c>
      <c r="E226" s="140">
        <f t="shared" si="7"/>
        <v>0.11908840130575798</v>
      </c>
    </row>
    <row r="227" spans="1:5" x14ac:dyDescent="0.45">
      <c r="A227" s="136" t="s">
        <v>255</v>
      </c>
      <c r="B227" s="137"/>
      <c r="C227" s="137"/>
      <c r="D227" s="138">
        <f t="shared" si="6"/>
        <v>0</v>
      </c>
      <c r="E227" s="140" t="str">
        <f t="shared" si="7"/>
        <v/>
      </c>
    </row>
    <row r="228" spans="1:5" x14ac:dyDescent="0.45">
      <c r="A228" s="136" t="s">
        <v>256</v>
      </c>
      <c r="B228" s="138">
        <f>12306.81</f>
        <v>12306.81</v>
      </c>
      <c r="C228" s="138">
        <f>8670.62</f>
        <v>8670.6200000000008</v>
      </c>
      <c r="D228" s="138">
        <f t="shared" si="6"/>
        <v>3636.1899999999987</v>
      </c>
      <c r="E228" s="140">
        <f t="shared" si="7"/>
        <v>0.41936908779302962</v>
      </c>
    </row>
    <row r="229" spans="1:5" x14ac:dyDescent="0.45">
      <c r="A229" s="136" t="s">
        <v>301</v>
      </c>
      <c r="B229" s="138">
        <f>43.54</f>
        <v>43.54</v>
      </c>
      <c r="C229" s="138">
        <f>48626</f>
        <v>48626</v>
      </c>
      <c r="D229" s="138">
        <f t="shared" si="6"/>
        <v>-48582.46</v>
      </c>
      <c r="E229" s="140">
        <f t="shared" si="7"/>
        <v>-0.99910459424998965</v>
      </c>
    </row>
    <row r="230" spans="1:5" x14ac:dyDescent="0.45">
      <c r="A230" s="136" t="s">
        <v>257</v>
      </c>
      <c r="B230" s="139">
        <f>((B227)+(B228))+(B229)</f>
        <v>12350.35</v>
      </c>
      <c r="C230" s="139">
        <f>((C227)+(C228))+(C229)</f>
        <v>57296.62</v>
      </c>
      <c r="D230" s="139">
        <f t="shared" si="6"/>
        <v>-44946.270000000004</v>
      </c>
      <c r="E230" s="141">
        <f t="shared" si="7"/>
        <v>-0.78444889070245338</v>
      </c>
    </row>
    <row r="231" spans="1:5" x14ac:dyDescent="0.45">
      <c r="A231" s="136" t="s">
        <v>258</v>
      </c>
      <c r="B231" s="137"/>
      <c r="C231" s="137"/>
      <c r="D231" s="138">
        <f t="shared" si="6"/>
        <v>0</v>
      </c>
      <c r="E231" s="140" t="str">
        <f t="shared" si="7"/>
        <v/>
      </c>
    </row>
    <row r="232" spans="1:5" x14ac:dyDescent="0.45">
      <c r="A232" s="136" t="s">
        <v>259</v>
      </c>
      <c r="B232" s="138">
        <f>757.84</f>
        <v>757.84</v>
      </c>
      <c r="C232" s="138">
        <f>702.59</f>
        <v>702.59</v>
      </c>
      <c r="D232" s="138">
        <f t="shared" si="6"/>
        <v>55.25</v>
      </c>
      <c r="E232" s="140">
        <f t="shared" si="7"/>
        <v>7.8637612263197598E-2</v>
      </c>
    </row>
    <row r="233" spans="1:5" x14ac:dyDescent="0.45">
      <c r="A233" s="136" t="s">
        <v>260</v>
      </c>
      <c r="B233" s="138">
        <f>2300.62</f>
        <v>2300.62</v>
      </c>
      <c r="C233" s="138">
        <f>1511.24</f>
        <v>1511.24</v>
      </c>
      <c r="D233" s="138">
        <f t="shared" si="6"/>
        <v>789.37999999999988</v>
      </c>
      <c r="E233" s="140">
        <f t="shared" si="7"/>
        <v>0.52233927106217404</v>
      </c>
    </row>
    <row r="234" spans="1:5" x14ac:dyDescent="0.45">
      <c r="A234" s="136" t="s">
        <v>261</v>
      </c>
      <c r="B234" s="139">
        <f>((B231)+(B232))+(B233)</f>
        <v>3058.46</v>
      </c>
      <c r="C234" s="139">
        <f>((C231)+(C232))+(C233)</f>
        <v>2213.83</v>
      </c>
      <c r="D234" s="139">
        <f t="shared" si="6"/>
        <v>844.63000000000011</v>
      </c>
      <c r="E234" s="141">
        <f t="shared" si="7"/>
        <v>0.38152432661947855</v>
      </c>
    </row>
    <row r="235" spans="1:5" x14ac:dyDescent="0.45">
      <c r="A235" s="136" t="s">
        <v>262</v>
      </c>
      <c r="B235" s="137"/>
      <c r="C235" s="137"/>
      <c r="D235" s="138">
        <f t="shared" si="6"/>
        <v>0</v>
      </c>
      <c r="E235" s="140" t="str">
        <f t="shared" si="7"/>
        <v/>
      </c>
    </row>
    <row r="236" spans="1:5" x14ac:dyDescent="0.45">
      <c r="A236" s="136" t="s">
        <v>438</v>
      </c>
      <c r="B236" s="138">
        <f>50.32</f>
        <v>50.32</v>
      </c>
      <c r="C236" s="137"/>
      <c r="D236" s="138">
        <f t="shared" si="6"/>
        <v>50.32</v>
      </c>
      <c r="E236" s="140" t="str">
        <f t="shared" si="7"/>
        <v/>
      </c>
    </row>
    <row r="237" spans="1:5" x14ac:dyDescent="0.45">
      <c r="A237" s="136" t="s">
        <v>263</v>
      </c>
      <c r="B237" s="137"/>
      <c r="C237" s="137"/>
      <c r="D237" s="138">
        <f t="shared" si="6"/>
        <v>0</v>
      </c>
      <c r="E237" s="140" t="str">
        <f t="shared" si="7"/>
        <v/>
      </c>
    </row>
    <row r="238" spans="1:5" x14ac:dyDescent="0.45">
      <c r="A238" s="136" t="s">
        <v>264</v>
      </c>
      <c r="B238" s="138">
        <f>33800.75</f>
        <v>33800.75</v>
      </c>
      <c r="C238" s="138">
        <f>40709.59</f>
        <v>40709.589999999997</v>
      </c>
      <c r="D238" s="138">
        <f t="shared" si="6"/>
        <v>-6908.8399999999965</v>
      </c>
      <c r="E238" s="140">
        <f t="shared" si="7"/>
        <v>-0.16971038028140292</v>
      </c>
    </row>
    <row r="239" spans="1:5" x14ac:dyDescent="0.45">
      <c r="A239" s="136" t="s">
        <v>265</v>
      </c>
      <c r="B239" s="139">
        <f>(B237)+(B238)</f>
        <v>33800.75</v>
      </c>
      <c r="C239" s="139">
        <f>(C237)+(C238)</f>
        <v>40709.589999999997</v>
      </c>
      <c r="D239" s="139">
        <f t="shared" si="6"/>
        <v>-6908.8399999999965</v>
      </c>
      <c r="E239" s="141">
        <f t="shared" si="7"/>
        <v>-0.16971038028140292</v>
      </c>
    </row>
    <row r="240" spans="1:5" x14ac:dyDescent="0.45">
      <c r="A240" s="136" t="s">
        <v>266</v>
      </c>
      <c r="B240" s="138">
        <f>4222.35</f>
        <v>4222.3500000000004</v>
      </c>
      <c r="C240" s="138">
        <f>1881.85</f>
        <v>1881.85</v>
      </c>
      <c r="D240" s="138">
        <f t="shared" si="6"/>
        <v>2340.5000000000005</v>
      </c>
      <c r="E240" s="140">
        <f t="shared" si="7"/>
        <v>1.2437229322209531</v>
      </c>
    </row>
    <row r="241" spans="1:5" x14ac:dyDescent="0.45">
      <c r="A241" s="136" t="s">
        <v>267</v>
      </c>
      <c r="B241" s="137"/>
      <c r="C241" s="138">
        <f>0</f>
        <v>0</v>
      </c>
      <c r="D241" s="138">
        <f t="shared" si="6"/>
        <v>0</v>
      </c>
      <c r="E241" s="140" t="str">
        <f t="shared" si="7"/>
        <v/>
      </c>
    </row>
    <row r="242" spans="1:5" x14ac:dyDescent="0.45">
      <c r="A242" s="136" t="s">
        <v>268</v>
      </c>
      <c r="B242" s="139">
        <f>((((B235)+(B236))+(B239))+(B240))+(B241)</f>
        <v>38073.42</v>
      </c>
      <c r="C242" s="139">
        <f>((((C235)+(C236))+(C239))+(C240))+(C241)</f>
        <v>42591.439999999995</v>
      </c>
      <c r="D242" s="139">
        <f t="shared" si="6"/>
        <v>-4518.0199999999968</v>
      </c>
      <c r="E242" s="141">
        <f t="shared" si="7"/>
        <v>-0.10607812274015617</v>
      </c>
    </row>
    <row r="243" spans="1:5" x14ac:dyDescent="0.45">
      <c r="A243" s="136" t="s">
        <v>269</v>
      </c>
      <c r="B243" s="137"/>
      <c r="C243" s="137"/>
      <c r="D243" s="138">
        <f t="shared" si="6"/>
        <v>0</v>
      </c>
      <c r="E243" s="140" t="str">
        <f t="shared" si="7"/>
        <v/>
      </c>
    </row>
    <row r="244" spans="1:5" x14ac:dyDescent="0.45">
      <c r="A244" s="136" t="s">
        <v>302</v>
      </c>
      <c r="B244" s="138">
        <f>260</f>
        <v>260</v>
      </c>
      <c r="C244" s="137"/>
      <c r="D244" s="138">
        <f t="shared" si="6"/>
        <v>260</v>
      </c>
      <c r="E244" s="140" t="str">
        <f t="shared" si="7"/>
        <v/>
      </c>
    </row>
    <row r="245" spans="1:5" x14ac:dyDescent="0.45">
      <c r="A245" s="136" t="s">
        <v>270</v>
      </c>
      <c r="B245" s="138">
        <f>6065.76</f>
        <v>6065.76</v>
      </c>
      <c r="C245" s="138">
        <f>8480.13</f>
        <v>8480.1299999999992</v>
      </c>
      <c r="D245" s="138">
        <f t="shared" si="6"/>
        <v>-2414.369999999999</v>
      </c>
      <c r="E245" s="140">
        <f t="shared" si="7"/>
        <v>-0.28470907875233037</v>
      </c>
    </row>
    <row r="246" spans="1:5" x14ac:dyDescent="0.45">
      <c r="A246" s="136" t="s">
        <v>271</v>
      </c>
      <c r="B246" s="138">
        <f>2948.6</f>
        <v>2948.6</v>
      </c>
      <c r="C246" s="138">
        <f>7012.69</f>
        <v>7012.69</v>
      </c>
      <c r="D246" s="138">
        <f t="shared" si="6"/>
        <v>-4064.0899999999997</v>
      </c>
      <c r="E246" s="140">
        <f t="shared" si="7"/>
        <v>-0.57953367395393207</v>
      </c>
    </row>
    <row r="247" spans="1:5" x14ac:dyDescent="0.45">
      <c r="A247" s="136" t="s">
        <v>272</v>
      </c>
      <c r="B247" s="138">
        <f>8549.43</f>
        <v>8549.43</v>
      </c>
      <c r="C247" s="138">
        <f>7947.71</f>
        <v>7947.71</v>
      </c>
      <c r="D247" s="138">
        <f t="shared" si="6"/>
        <v>601.72000000000025</v>
      </c>
      <c r="E247" s="140">
        <f t="shared" si="7"/>
        <v>7.5709858563032653E-2</v>
      </c>
    </row>
    <row r="248" spans="1:5" x14ac:dyDescent="0.45">
      <c r="A248" s="136" t="s">
        <v>273</v>
      </c>
      <c r="B248" s="138">
        <f>40</f>
        <v>40</v>
      </c>
      <c r="C248" s="138">
        <f>486.78</f>
        <v>486.78</v>
      </c>
      <c r="D248" s="138">
        <f t="shared" ref="D248:D260" si="8">(B248)-(C248)</f>
        <v>-446.78</v>
      </c>
      <c r="E248" s="140">
        <f t="shared" ref="E248:E260" si="9">IF(ABS((C248))=0,"",((B248)-(C248))/(ABS((C248))))</f>
        <v>-0.91782735527342951</v>
      </c>
    </row>
    <row r="249" spans="1:5" x14ac:dyDescent="0.45">
      <c r="A249" s="136" t="s">
        <v>274</v>
      </c>
      <c r="B249" s="138">
        <f>22767.47</f>
        <v>22767.47</v>
      </c>
      <c r="C249" s="138">
        <f>20625.56</f>
        <v>20625.560000000001</v>
      </c>
      <c r="D249" s="138">
        <f t="shared" si="8"/>
        <v>2141.91</v>
      </c>
      <c r="E249" s="140">
        <f t="shared" si="9"/>
        <v>0.10384736220495346</v>
      </c>
    </row>
    <row r="250" spans="1:5" x14ac:dyDescent="0.45">
      <c r="A250" s="136" t="s">
        <v>275</v>
      </c>
      <c r="B250" s="138">
        <f>52203.15</f>
        <v>52203.15</v>
      </c>
      <c r="C250" s="138">
        <f>16561.35</f>
        <v>16561.349999999999</v>
      </c>
      <c r="D250" s="138">
        <f t="shared" si="8"/>
        <v>35641.800000000003</v>
      </c>
      <c r="E250" s="140">
        <f t="shared" si="9"/>
        <v>2.1521071651767523</v>
      </c>
    </row>
    <row r="251" spans="1:5" x14ac:dyDescent="0.45">
      <c r="A251" s="136" t="s">
        <v>276</v>
      </c>
      <c r="B251" s="138">
        <f>1283.33</f>
        <v>1283.33</v>
      </c>
      <c r="C251" s="138">
        <f>3956.08</f>
        <v>3956.08</v>
      </c>
      <c r="D251" s="138">
        <f t="shared" si="8"/>
        <v>-2672.75</v>
      </c>
      <c r="E251" s="140">
        <f t="shared" si="9"/>
        <v>-0.6756056500374108</v>
      </c>
    </row>
    <row r="252" spans="1:5" x14ac:dyDescent="0.45">
      <c r="A252" s="136" t="s">
        <v>277</v>
      </c>
      <c r="B252" s="138">
        <f>4181.8</f>
        <v>4181.8</v>
      </c>
      <c r="C252" s="138">
        <f>4104.55</f>
        <v>4104.55</v>
      </c>
      <c r="D252" s="138">
        <f t="shared" si="8"/>
        <v>77.25</v>
      </c>
      <c r="E252" s="140">
        <f t="shared" si="9"/>
        <v>1.8820577164366373E-2</v>
      </c>
    </row>
    <row r="253" spans="1:5" x14ac:dyDescent="0.45">
      <c r="A253" s="136" t="s">
        <v>278</v>
      </c>
      <c r="B253" s="139">
        <f>(((((((((B243)+(B244))+(B245))+(B246))+(B247))+(B248))+(B249))+(B250))+(B251))+(B252)</f>
        <v>98299.540000000008</v>
      </c>
      <c r="C253" s="139">
        <f>(((((((((C243)+(C244))+(C245))+(C246))+(C247))+(C248))+(C249))+(C250))+(C251))+(C252)</f>
        <v>69174.849999999991</v>
      </c>
      <c r="D253" s="139">
        <f t="shared" si="8"/>
        <v>29124.690000000017</v>
      </c>
      <c r="E253" s="141">
        <f t="shared" si="9"/>
        <v>0.42103004198780369</v>
      </c>
    </row>
    <row r="254" spans="1:5" x14ac:dyDescent="0.45">
      <c r="A254" s="136" t="s">
        <v>279</v>
      </c>
      <c r="B254" s="137"/>
      <c r="C254" s="137"/>
      <c r="D254" s="138">
        <f t="shared" si="8"/>
        <v>0</v>
      </c>
      <c r="E254" s="140" t="str">
        <f t="shared" si="9"/>
        <v/>
      </c>
    </row>
    <row r="255" spans="1:5" x14ac:dyDescent="0.45">
      <c r="A255" s="136" t="s">
        <v>280</v>
      </c>
      <c r="B255" s="138">
        <f>19009.33</f>
        <v>19009.330000000002</v>
      </c>
      <c r="C255" s="138">
        <f>15829.96</f>
        <v>15829.96</v>
      </c>
      <c r="D255" s="138">
        <f t="shared" si="8"/>
        <v>3179.3700000000026</v>
      </c>
      <c r="E255" s="140">
        <f t="shared" si="9"/>
        <v>0.2008451063679253</v>
      </c>
    </row>
    <row r="256" spans="1:5" x14ac:dyDescent="0.45">
      <c r="A256" s="136" t="s">
        <v>281</v>
      </c>
      <c r="B256" s="137"/>
      <c r="C256" s="138">
        <f>29000</f>
        <v>29000</v>
      </c>
      <c r="D256" s="138">
        <f t="shared" si="8"/>
        <v>-29000</v>
      </c>
      <c r="E256" s="140">
        <f t="shared" si="9"/>
        <v>-1</v>
      </c>
    </row>
    <row r="257" spans="1:5" x14ac:dyDescent="0.45">
      <c r="A257" s="136" t="s">
        <v>282</v>
      </c>
      <c r="B257" s="139">
        <f>((B254)+(B255))+(B256)</f>
        <v>19009.330000000002</v>
      </c>
      <c r="C257" s="139">
        <f>((C254)+(C255))+(C256)</f>
        <v>44829.96</v>
      </c>
      <c r="D257" s="139">
        <f t="shared" si="8"/>
        <v>-25820.629999999997</v>
      </c>
      <c r="E257" s="141">
        <f t="shared" si="9"/>
        <v>-0.57596816950093188</v>
      </c>
    </row>
    <row r="258" spans="1:5" x14ac:dyDescent="0.45">
      <c r="A258" s="136" t="s">
        <v>283</v>
      </c>
      <c r="B258" s="139">
        <f>(((((((((((B160)+(B201))+(B206))+(B214))+(B220))+(B225))+(B226))+(B230))+(B234))+(B242))+(B253))+(B257)</f>
        <v>2169004.34</v>
      </c>
      <c r="C258" s="139">
        <f>(((((((((((C160)+(C201))+(C206))+(C214))+(C220))+(C225))+(C226))+(C230))+(C234))+(C242))+(C253))+(C257)</f>
        <v>1627106.0500000003</v>
      </c>
      <c r="D258" s="139">
        <f t="shared" si="8"/>
        <v>541898.28999999957</v>
      </c>
      <c r="E258" s="141">
        <f t="shared" si="9"/>
        <v>0.33304423519290549</v>
      </c>
    </row>
    <row r="259" spans="1:5" x14ac:dyDescent="0.45">
      <c r="A259" s="136" t="s">
        <v>284</v>
      </c>
      <c r="B259" s="139">
        <f>(B159)+(B258)</f>
        <v>4396237.26</v>
      </c>
      <c r="C259" s="139">
        <f>(C159)+(C258)</f>
        <v>3290775.9300000016</v>
      </c>
      <c r="D259" s="139">
        <f t="shared" si="8"/>
        <v>1105461.3299999982</v>
      </c>
      <c r="E259" s="141">
        <f t="shared" si="9"/>
        <v>0.33592725652396443</v>
      </c>
    </row>
    <row r="260" spans="1:5" x14ac:dyDescent="0.45">
      <c r="A260" s="136" t="s">
        <v>285</v>
      </c>
      <c r="B260" s="139">
        <f>(B54)-(B259)</f>
        <v>-850977.75999999978</v>
      </c>
      <c r="C260" s="139">
        <f>(C54)-(C259)</f>
        <v>-516054.69000000134</v>
      </c>
      <c r="D260" s="139">
        <f t="shared" si="8"/>
        <v>-334923.06999999844</v>
      </c>
      <c r="E260" s="141">
        <f t="shared" si="9"/>
        <v>-0.64900692986628528</v>
      </c>
    </row>
    <row r="261" spans="1:5" x14ac:dyDescent="0.45">
      <c r="A261" s="136" t="s">
        <v>286</v>
      </c>
      <c r="B261" s="137"/>
      <c r="C261" s="137"/>
      <c r="D261" s="137"/>
      <c r="E261" s="137"/>
    </row>
    <row r="262" spans="1:5" x14ac:dyDescent="0.45">
      <c r="A262" s="136" t="s">
        <v>287</v>
      </c>
      <c r="B262" s="137"/>
      <c r="C262" s="137"/>
      <c r="D262" s="138">
        <f t="shared" ref="D262:D271" si="10">(B262)-(C262)</f>
        <v>0</v>
      </c>
      <c r="E262" s="140" t="str">
        <f t="shared" ref="E262:E271" si="11">IF(ABS((C262))=0,"",((B262)-(C262))/(ABS((C262))))</f>
        <v/>
      </c>
    </row>
    <row r="263" spans="1:5" x14ac:dyDescent="0.45">
      <c r="A263" s="136" t="s">
        <v>288</v>
      </c>
      <c r="B263" s="138">
        <f>2565.34</f>
        <v>2565.34</v>
      </c>
      <c r="C263" s="138">
        <f>2545.62</f>
        <v>2545.62</v>
      </c>
      <c r="D263" s="138">
        <f t="shared" si="10"/>
        <v>19.720000000000255</v>
      </c>
      <c r="E263" s="140">
        <f t="shared" si="11"/>
        <v>7.7466393255867941E-3</v>
      </c>
    </row>
    <row r="264" spans="1:5" x14ac:dyDescent="0.45">
      <c r="A264" s="136" t="s">
        <v>289</v>
      </c>
      <c r="B264" s="138">
        <f>193702.03</f>
        <v>193702.03</v>
      </c>
      <c r="C264" s="138">
        <f>140425.47</f>
        <v>140425.47</v>
      </c>
      <c r="D264" s="138">
        <f t="shared" si="10"/>
        <v>53276.56</v>
      </c>
      <c r="E264" s="140">
        <f t="shared" si="11"/>
        <v>0.37939385212668325</v>
      </c>
    </row>
    <row r="265" spans="1:5" x14ac:dyDescent="0.45">
      <c r="A265" s="136" t="s">
        <v>290</v>
      </c>
      <c r="B265" s="138">
        <f>33521.09</f>
        <v>33521.089999999997</v>
      </c>
      <c r="C265" s="138">
        <f>1213.05</f>
        <v>1213.05</v>
      </c>
      <c r="D265" s="138">
        <f t="shared" si="10"/>
        <v>32308.039999999997</v>
      </c>
      <c r="E265" s="140">
        <f t="shared" si="11"/>
        <v>26.633724908289022</v>
      </c>
    </row>
    <row r="266" spans="1:5" x14ac:dyDescent="0.45">
      <c r="A266" s="136" t="s">
        <v>303</v>
      </c>
      <c r="B266" s="138">
        <f>-48226.48</f>
        <v>-48226.48</v>
      </c>
      <c r="C266" s="138">
        <f>20757.61</f>
        <v>20757.61</v>
      </c>
      <c r="D266" s="138">
        <f t="shared" si="10"/>
        <v>-68984.09</v>
      </c>
      <c r="E266" s="140">
        <f t="shared" si="11"/>
        <v>-3.3233156418296708</v>
      </c>
    </row>
    <row r="267" spans="1:5" x14ac:dyDescent="0.45">
      <c r="A267" s="136" t="s">
        <v>291</v>
      </c>
      <c r="B267" s="139">
        <f>((((B262)+(B263))+(B264))+(B265))+(B266)</f>
        <v>181561.97999999998</v>
      </c>
      <c r="C267" s="139">
        <f>((((C262)+(C263))+(C264))+(C265))+(C266)</f>
        <v>164941.75</v>
      </c>
      <c r="D267" s="139">
        <f t="shared" si="10"/>
        <v>16620.229999999981</v>
      </c>
      <c r="E267" s="141">
        <f t="shared" si="11"/>
        <v>0.10076423949667068</v>
      </c>
    </row>
    <row r="268" spans="1:5" x14ac:dyDescent="0.45">
      <c r="A268" s="136" t="s">
        <v>292</v>
      </c>
      <c r="B268" s="138">
        <f>-336.05</f>
        <v>-336.05</v>
      </c>
      <c r="C268" s="138">
        <f>68.52</f>
        <v>68.52</v>
      </c>
      <c r="D268" s="138">
        <f t="shared" si="10"/>
        <v>-404.57</v>
      </c>
      <c r="E268" s="140">
        <f t="shared" si="11"/>
        <v>-5.9044074722708704</v>
      </c>
    </row>
    <row r="269" spans="1:5" x14ac:dyDescent="0.45">
      <c r="A269" s="136" t="s">
        <v>293</v>
      </c>
      <c r="B269" s="139">
        <f>(B267)+(B268)</f>
        <v>181225.93</v>
      </c>
      <c r="C269" s="139">
        <f>(C267)+(C268)</f>
        <v>165010.26999999999</v>
      </c>
      <c r="D269" s="139">
        <f t="shared" si="10"/>
        <v>16215.660000000003</v>
      </c>
      <c r="E269" s="141">
        <f t="shared" si="11"/>
        <v>9.8270610671687311E-2</v>
      </c>
    </row>
    <row r="270" spans="1:5" x14ac:dyDescent="0.45">
      <c r="A270" s="136" t="s">
        <v>294</v>
      </c>
      <c r="B270" s="139">
        <f>(B269)-(0)</f>
        <v>181225.93</v>
      </c>
      <c r="C270" s="139">
        <f>(C269)-(0)</f>
        <v>165010.26999999999</v>
      </c>
      <c r="D270" s="139">
        <f t="shared" si="10"/>
        <v>16215.660000000003</v>
      </c>
      <c r="E270" s="141">
        <f t="shared" si="11"/>
        <v>9.8270610671687311E-2</v>
      </c>
    </row>
    <row r="271" spans="1:5" x14ac:dyDescent="0.45">
      <c r="A271" s="136" t="s">
        <v>295</v>
      </c>
      <c r="B271" s="139">
        <f>(B260)+(B270)</f>
        <v>-669751.82999999984</v>
      </c>
      <c r="C271" s="139">
        <f>(C260)+(C270)</f>
        <v>-351044.42000000132</v>
      </c>
      <c r="D271" s="139">
        <f t="shared" si="10"/>
        <v>-318707.40999999852</v>
      </c>
      <c r="E271" s="141">
        <f t="shared" si="11"/>
        <v>-0.90788342398377198</v>
      </c>
    </row>
    <row r="272" spans="1:5" x14ac:dyDescent="0.45">
      <c r="A272" s="136"/>
      <c r="B272" s="137"/>
      <c r="C272" s="137"/>
      <c r="D272" s="137"/>
      <c r="E272" s="137"/>
    </row>
    <row r="275" spans="1:5" x14ac:dyDescent="0.45">
      <c r="A275" s="153" t="s">
        <v>493</v>
      </c>
      <c r="B275" s="154"/>
      <c r="C275" s="154"/>
      <c r="D275" s="154"/>
      <c r="E275" s="154"/>
    </row>
  </sheetData>
  <mergeCells count="5">
    <mergeCell ref="A275:E275"/>
    <mergeCell ref="A1:E1"/>
    <mergeCell ref="A2:E2"/>
    <mergeCell ref="A3:E3"/>
    <mergeCell ref="B5:E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4CA7C-6E27-482B-84E4-BC8F9A7C1664}">
  <sheetPr>
    <pageSetUpPr fitToPage="1"/>
  </sheetPr>
  <dimension ref="A1:B24"/>
  <sheetViews>
    <sheetView workbookViewId="0">
      <selection activeCell="D13" sqref="D13"/>
    </sheetView>
  </sheetViews>
  <sheetFormatPr defaultColWidth="8.73046875" defaultRowHeight="14.25" x14ac:dyDescent="0.45"/>
  <cols>
    <col min="1" max="1" width="70.3984375" style="146" customWidth="1"/>
    <col min="2" max="2" width="20.59765625" style="146" customWidth="1"/>
    <col min="3" max="16384" width="8.73046875" style="146"/>
  </cols>
  <sheetData>
    <row r="1" spans="1:2" ht="17.649999999999999" x14ac:dyDescent="0.5">
      <c r="A1" s="155" t="s">
        <v>61</v>
      </c>
      <c r="B1" s="154"/>
    </row>
    <row r="2" spans="1:2" ht="17.649999999999999" x14ac:dyDescent="0.5">
      <c r="A2" s="155" t="s">
        <v>304</v>
      </c>
      <c r="B2" s="154"/>
    </row>
    <row r="3" spans="1:2" x14ac:dyDescent="0.45">
      <c r="A3" s="156" t="s">
        <v>483</v>
      </c>
      <c r="B3" s="154"/>
    </row>
    <row r="5" spans="1:2" x14ac:dyDescent="0.45">
      <c r="A5" s="147"/>
      <c r="B5" s="144" t="s">
        <v>62</v>
      </c>
    </row>
    <row r="6" spans="1:2" x14ac:dyDescent="0.45">
      <c r="A6" s="136" t="s">
        <v>305</v>
      </c>
      <c r="B6" s="137"/>
    </row>
    <row r="7" spans="1:2" x14ac:dyDescent="0.45">
      <c r="A7" s="136" t="s">
        <v>306</v>
      </c>
      <c r="B7" s="138">
        <f>-669751.83</f>
        <v>-669751.82999999996</v>
      </c>
    </row>
    <row r="8" spans="1:2" x14ac:dyDescent="0.45">
      <c r="A8" s="136" t="s">
        <v>307</v>
      </c>
      <c r="B8" s="137"/>
    </row>
    <row r="9" spans="1:2" x14ac:dyDescent="0.45">
      <c r="A9" s="136" t="s">
        <v>517</v>
      </c>
      <c r="B9" s="138">
        <f>491861.72</f>
        <v>491861.72</v>
      </c>
    </row>
    <row r="10" spans="1:2" x14ac:dyDescent="0.45">
      <c r="A10" s="136" t="s">
        <v>308</v>
      </c>
      <c r="B10" s="138">
        <f>0</f>
        <v>0</v>
      </c>
    </row>
    <row r="11" spans="1:2" x14ac:dyDescent="0.45">
      <c r="A11" s="136" t="s">
        <v>309</v>
      </c>
      <c r="B11" s="138">
        <f>0</f>
        <v>0</v>
      </c>
    </row>
    <row r="12" spans="1:2" x14ac:dyDescent="0.45">
      <c r="A12" s="136" t="s">
        <v>310</v>
      </c>
      <c r="B12" s="139">
        <f>(((B8)+(B9))+(B10))+(B11)</f>
        <v>491861.72</v>
      </c>
    </row>
    <row r="13" spans="1:2" x14ac:dyDescent="0.45">
      <c r="A13" s="136" t="s">
        <v>311</v>
      </c>
      <c r="B13" s="139">
        <f>(B7)+(B12)</f>
        <v>-177890.11</v>
      </c>
    </row>
    <row r="14" spans="1:2" x14ac:dyDescent="0.45">
      <c r="A14" s="136" t="s">
        <v>312</v>
      </c>
      <c r="B14" s="137"/>
    </row>
    <row r="15" spans="1:2" x14ac:dyDescent="0.45">
      <c r="A15" s="136" t="s">
        <v>313</v>
      </c>
      <c r="B15" s="138">
        <f>1516.64</f>
        <v>1516.64</v>
      </c>
    </row>
    <row r="16" spans="1:2" x14ac:dyDescent="0.45">
      <c r="A16" s="136" t="s">
        <v>314</v>
      </c>
      <c r="B16" s="138">
        <f>13776.84</f>
        <v>13776.84</v>
      </c>
    </row>
    <row r="17" spans="1:2" x14ac:dyDescent="0.45">
      <c r="A17" s="136" t="s">
        <v>315</v>
      </c>
      <c r="B17" s="139">
        <f>(B15)+(B16)</f>
        <v>15293.48</v>
      </c>
    </row>
    <row r="18" spans="1:2" x14ac:dyDescent="0.45">
      <c r="A18" s="136" t="s">
        <v>316</v>
      </c>
      <c r="B18" s="139">
        <f>(B13)+(B17)</f>
        <v>-162596.62999999998</v>
      </c>
    </row>
    <row r="19" spans="1:2" x14ac:dyDescent="0.45">
      <c r="A19" s="136" t="s">
        <v>317</v>
      </c>
      <c r="B19" s="138">
        <f>10449150.4</f>
        <v>10449150.4</v>
      </c>
    </row>
    <row r="20" spans="1:2" x14ac:dyDescent="0.45">
      <c r="A20" s="136" t="s">
        <v>318</v>
      </c>
      <c r="B20" s="139">
        <f>(B18)+(B19)</f>
        <v>10286553.77</v>
      </c>
    </row>
    <row r="21" spans="1:2" x14ac:dyDescent="0.45">
      <c r="A21" s="136"/>
      <c r="B21" s="137"/>
    </row>
    <row r="24" spans="1:2" x14ac:dyDescent="0.45">
      <c r="A24" s="153" t="s">
        <v>518</v>
      </c>
      <c r="B24" s="154"/>
    </row>
  </sheetData>
  <mergeCells count="4">
    <mergeCell ref="A1:B1"/>
    <mergeCell ref="A2:B2"/>
    <mergeCell ref="A3:B3"/>
    <mergeCell ref="A24:B24"/>
  </mergeCells>
  <pageMargins left="0.7" right="0.7" top="0.75" bottom="0.75" header="0.3" footer="0.3"/>
  <pageSetup scale="9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D6D83-1675-4DA3-9F1B-E6EE69F9C266}">
  <sheetPr>
    <pageSetUpPr fitToPage="1"/>
  </sheetPr>
  <dimension ref="A1:B112"/>
  <sheetViews>
    <sheetView workbookViewId="0">
      <selection activeCell="G15" sqref="G15"/>
    </sheetView>
  </sheetViews>
  <sheetFormatPr defaultColWidth="9.1328125" defaultRowHeight="14.25" x14ac:dyDescent="0.45"/>
  <cols>
    <col min="1" max="1" width="53.265625" style="148" customWidth="1"/>
    <col min="2" max="2" width="27.3984375" style="148" customWidth="1"/>
    <col min="3" max="16384" width="9.1328125" style="148"/>
  </cols>
  <sheetData>
    <row r="1" spans="1:2" ht="17.649999999999999" x14ac:dyDescent="0.5">
      <c r="A1" s="155" t="s">
        <v>61</v>
      </c>
      <c r="B1" s="154"/>
    </row>
    <row r="2" spans="1:2" ht="17.649999999999999" x14ac:dyDescent="0.5">
      <c r="A2" s="155" t="s">
        <v>319</v>
      </c>
      <c r="B2" s="154"/>
    </row>
    <row r="3" spans="1:2" x14ac:dyDescent="0.45">
      <c r="A3" s="156" t="s">
        <v>494</v>
      </c>
      <c r="B3" s="154"/>
    </row>
    <row r="5" spans="1:2" x14ac:dyDescent="0.45">
      <c r="A5" s="149"/>
      <c r="B5" s="144" t="s">
        <v>62</v>
      </c>
    </row>
    <row r="6" spans="1:2" x14ac:dyDescent="0.45">
      <c r="A6" s="136" t="s">
        <v>320</v>
      </c>
      <c r="B6" s="137"/>
    </row>
    <row r="7" spans="1:2" x14ac:dyDescent="0.45">
      <c r="A7" s="136" t="s">
        <v>321</v>
      </c>
      <c r="B7" s="137"/>
    </row>
    <row r="8" spans="1:2" x14ac:dyDescent="0.45">
      <c r="A8" s="136" t="s">
        <v>322</v>
      </c>
      <c r="B8" s="137"/>
    </row>
    <row r="9" spans="1:2" x14ac:dyDescent="0.45">
      <c r="A9" s="136" t="s">
        <v>323</v>
      </c>
      <c r="B9" s="137"/>
    </row>
    <row r="10" spans="1:2" x14ac:dyDescent="0.45">
      <c r="A10" s="136" t="s">
        <v>324</v>
      </c>
      <c r="B10" s="137"/>
    </row>
    <row r="11" spans="1:2" x14ac:dyDescent="0.45">
      <c r="A11" s="136" t="s">
        <v>325</v>
      </c>
      <c r="B11" s="138">
        <f>781668.96</f>
        <v>781668.96</v>
      </c>
    </row>
    <row r="12" spans="1:2" x14ac:dyDescent="0.45">
      <c r="A12" s="136" t="s">
        <v>326</v>
      </c>
      <c r="B12" s="138">
        <f>52278</f>
        <v>52278</v>
      </c>
    </row>
    <row r="13" spans="1:2" x14ac:dyDescent="0.45">
      <c r="A13" s="136" t="s">
        <v>327</v>
      </c>
      <c r="B13" s="138">
        <f>0</f>
        <v>0</v>
      </c>
    </row>
    <row r="14" spans="1:2" x14ac:dyDescent="0.45">
      <c r="A14" s="136" t="s">
        <v>328</v>
      </c>
      <c r="B14" s="138">
        <f>0</f>
        <v>0</v>
      </c>
    </row>
    <row r="15" spans="1:2" x14ac:dyDescent="0.45">
      <c r="A15" s="136" t="s">
        <v>329</v>
      </c>
      <c r="B15" s="139">
        <f>((((B10)+(B11))+(B12))+(B13))+(B14)</f>
        <v>833946.96</v>
      </c>
    </row>
    <row r="16" spans="1:2" x14ac:dyDescent="0.45">
      <c r="A16" s="136" t="s">
        <v>330</v>
      </c>
      <c r="B16" s="137"/>
    </row>
    <row r="17" spans="1:2" x14ac:dyDescent="0.45">
      <c r="A17" s="136" t="s">
        <v>331</v>
      </c>
      <c r="B17" s="138">
        <f>250</f>
        <v>250</v>
      </c>
    </row>
    <row r="18" spans="1:2" x14ac:dyDescent="0.45">
      <c r="A18" s="136" t="s">
        <v>332</v>
      </c>
      <c r="B18" s="138">
        <f>0</f>
        <v>0</v>
      </c>
    </row>
    <row r="19" spans="1:2" x14ac:dyDescent="0.45">
      <c r="A19" s="136" t="s">
        <v>333</v>
      </c>
      <c r="B19" s="138">
        <f>266704.27</f>
        <v>266704.27</v>
      </c>
    </row>
    <row r="20" spans="1:2" x14ac:dyDescent="0.45">
      <c r="A20" s="136" t="s">
        <v>334</v>
      </c>
      <c r="B20" s="139">
        <f>(((B16)+(B17))+(B18))+(B19)</f>
        <v>266954.27</v>
      </c>
    </row>
    <row r="21" spans="1:2" x14ac:dyDescent="0.45">
      <c r="A21" s="136" t="s">
        <v>335</v>
      </c>
      <c r="B21" s="138">
        <f>14267.27</f>
        <v>14267.27</v>
      </c>
    </row>
    <row r="22" spans="1:2" x14ac:dyDescent="0.45">
      <c r="A22" s="136" t="s">
        <v>336</v>
      </c>
      <c r="B22" s="138">
        <f>0</f>
        <v>0</v>
      </c>
    </row>
    <row r="23" spans="1:2" x14ac:dyDescent="0.45">
      <c r="A23" s="136" t="s">
        <v>337</v>
      </c>
      <c r="B23" s="137"/>
    </row>
    <row r="24" spans="1:2" x14ac:dyDescent="0.45">
      <c r="A24" s="136" t="s">
        <v>338</v>
      </c>
      <c r="B24" s="138">
        <f>297612.56</f>
        <v>297612.56</v>
      </c>
    </row>
    <row r="25" spans="1:2" x14ac:dyDescent="0.45">
      <c r="A25" s="136" t="s">
        <v>339</v>
      </c>
      <c r="B25" s="138">
        <f>0</f>
        <v>0</v>
      </c>
    </row>
    <row r="26" spans="1:2" x14ac:dyDescent="0.45">
      <c r="A26" s="136" t="s">
        <v>340</v>
      </c>
      <c r="B26" s="138">
        <f>2731954.75</f>
        <v>2731954.75</v>
      </c>
    </row>
    <row r="27" spans="1:2" x14ac:dyDescent="0.45">
      <c r="A27" s="136" t="s">
        <v>341</v>
      </c>
      <c r="B27" s="138">
        <f>209220.74</f>
        <v>209220.74</v>
      </c>
    </row>
    <row r="28" spans="1:2" x14ac:dyDescent="0.45">
      <c r="A28" s="136" t="s">
        <v>342</v>
      </c>
      <c r="B28" s="138">
        <f>322750.12</f>
        <v>322750.12</v>
      </c>
    </row>
    <row r="29" spans="1:2" x14ac:dyDescent="0.45">
      <c r="A29" s="136" t="s">
        <v>343</v>
      </c>
      <c r="B29" s="138">
        <f>125268.52</f>
        <v>125268.52</v>
      </c>
    </row>
    <row r="30" spans="1:2" x14ac:dyDescent="0.45">
      <c r="A30" s="136" t="s">
        <v>344</v>
      </c>
      <c r="B30" s="138">
        <f>75758.21</f>
        <v>75758.210000000006</v>
      </c>
    </row>
    <row r="31" spans="1:2" x14ac:dyDescent="0.45">
      <c r="A31" s="136" t="s">
        <v>345</v>
      </c>
      <c r="B31" s="138">
        <f>0</f>
        <v>0</v>
      </c>
    </row>
    <row r="32" spans="1:2" x14ac:dyDescent="0.45">
      <c r="A32" s="136" t="s">
        <v>346</v>
      </c>
      <c r="B32" s="138">
        <f>0</f>
        <v>0</v>
      </c>
    </row>
    <row r="33" spans="1:2" x14ac:dyDescent="0.45">
      <c r="A33" s="136" t="s">
        <v>347</v>
      </c>
      <c r="B33" s="138">
        <f>5179302.41</f>
        <v>5179302.41</v>
      </c>
    </row>
    <row r="34" spans="1:2" x14ac:dyDescent="0.45">
      <c r="A34" s="136" t="s">
        <v>457</v>
      </c>
      <c r="B34" s="138">
        <f>229517.96</f>
        <v>229517.96</v>
      </c>
    </row>
    <row r="35" spans="1:2" x14ac:dyDescent="0.45">
      <c r="A35" s="136" t="s">
        <v>348</v>
      </c>
      <c r="B35" s="139">
        <f>(((((((((((B23)+(B24))+(B25))+(B26))+(B27))+(B28))+(B29))+(B30))+(B31))+(B32))+(B33))+(B34)</f>
        <v>9171385.2700000014</v>
      </c>
    </row>
    <row r="36" spans="1:2" x14ac:dyDescent="0.45">
      <c r="A36" s="136" t="s">
        <v>349</v>
      </c>
      <c r="B36" s="137"/>
    </row>
    <row r="37" spans="1:2" x14ac:dyDescent="0.45">
      <c r="A37" s="136" t="s">
        <v>350</v>
      </c>
      <c r="B37" s="138">
        <f>0</f>
        <v>0</v>
      </c>
    </row>
    <row r="38" spans="1:2" x14ac:dyDescent="0.45">
      <c r="A38" s="136" t="s">
        <v>351</v>
      </c>
      <c r="B38" s="138">
        <f>0</f>
        <v>0</v>
      </c>
    </row>
    <row r="39" spans="1:2" x14ac:dyDescent="0.45">
      <c r="A39" s="136" t="s">
        <v>352</v>
      </c>
      <c r="B39" s="138">
        <f>0</f>
        <v>0</v>
      </c>
    </row>
    <row r="40" spans="1:2" x14ac:dyDescent="0.45">
      <c r="A40" s="136" t="s">
        <v>353</v>
      </c>
      <c r="B40" s="139">
        <f>(((B36)+(B37))+(B38))+(B39)</f>
        <v>0</v>
      </c>
    </row>
    <row r="41" spans="1:2" x14ac:dyDescent="0.45">
      <c r="A41" s="136" t="s">
        <v>354</v>
      </c>
      <c r="B41" s="138">
        <f>0</f>
        <v>0</v>
      </c>
    </row>
    <row r="42" spans="1:2" x14ac:dyDescent="0.45">
      <c r="A42" s="136" t="s">
        <v>355</v>
      </c>
      <c r="B42" s="139">
        <f>(((((((B9)+(B15))+(B20))+(B21))+(B22))+(B35))+(B40))+(B41)</f>
        <v>10286553.770000001</v>
      </c>
    </row>
    <row r="43" spans="1:2" x14ac:dyDescent="0.45">
      <c r="A43" s="136" t="s">
        <v>356</v>
      </c>
      <c r="B43" s="139">
        <f>B42</f>
        <v>10286553.770000001</v>
      </c>
    </row>
    <row r="44" spans="1:2" x14ac:dyDescent="0.45">
      <c r="A44" s="136" t="s">
        <v>357</v>
      </c>
      <c r="B44" s="137"/>
    </row>
    <row r="45" spans="1:2" x14ac:dyDescent="0.45">
      <c r="A45" s="136" t="s">
        <v>358</v>
      </c>
      <c r="B45" s="138">
        <f>892904</f>
        <v>892904</v>
      </c>
    </row>
    <row r="46" spans="1:2" x14ac:dyDescent="0.45">
      <c r="A46" s="136" t="s">
        <v>359</v>
      </c>
      <c r="B46" s="138">
        <f>20000</f>
        <v>20000</v>
      </c>
    </row>
    <row r="47" spans="1:2" x14ac:dyDescent="0.45">
      <c r="A47" s="136" t="s">
        <v>360</v>
      </c>
      <c r="B47" s="138">
        <f>0</f>
        <v>0</v>
      </c>
    </row>
    <row r="48" spans="1:2" x14ac:dyDescent="0.45">
      <c r="A48" s="136" t="s">
        <v>361</v>
      </c>
      <c r="B48" s="138">
        <f>55754</f>
        <v>55754</v>
      </c>
    </row>
    <row r="49" spans="1:2" x14ac:dyDescent="0.45">
      <c r="A49" s="136" t="s">
        <v>362</v>
      </c>
      <c r="B49" s="138">
        <f>21835.57</f>
        <v>21835.57</v>
      </c>
    </row>
    <row r="50" spans="1:2" x14ac:dyDescent="0.45">
      <c r="A50" s="136" t="s">
        <v>363</v>
      </c>
      <c r="B50" s="138">
        <f>91476.07</f>
        <v>91476.07</v>
      </c>
    </row>
    <row r="51" spans="1:2" x14ac:dyDescent="0.45">
      <c r="A51" s="136" t="s">
        <v>364</v>
      </c>
      <c r="B51" s="138">
        <f>955</f>
        <v>955</v>
      </c>
    </row>
    <row r="52" spans="1:2" x14ac:dyDescent="0.45">
      <c r="A52" s="136" t="s">
        <v>365</v>
      </c>
      <c r="B52" s="138">
        <f>0</f>
        <v>0</v>
      </c>
    </row>
    <row r="53" spans="1:2" x14ac:dyDescent="0.45">
      <c r="A53" s="136" t="s">
        <v>366</v>
      </c>
      <c r="B53" s="138">
        <f>0</f>
        <v>0</v>
      </c>
    </row>
    <row r="54" spans="1:2" x14ac:dyDescent="0.45">
      <c r="A54" s="136" t="s">
        <v>367</v>
      </c>
      <c r="B54" s="139">
        <f>((((((((B45)+(B46))+(B47))+(B48))+(B49))+(B50))+(B51))+(B52))+(B53)</f>
        <v>1082924.6399999999</v>
      </c>
    </row>
    <row r="55" spans="1:2" x14ac:dyDescent="0.45">
      <c r="A55" s="136" t="s">
        <v>368</v>
      </c>
      <c r="B55" s="139">
        <f>(B43)+(B54)</f>
        <v>11369478.410000002</v>
      </c>
    </row>
    <row r="56" spans="1:2" x14ac:dyDescent="0.45">
      <c r="A56" s="136" t="s">
        <v>369</v>
      </c>
      <c r="B56" s="137"/>
    </row>
    <row r="57" spans="1:2" x14ac:dyDescent="0.45">
      <c r="A57" s="136" t="s">
        <v>370</v>
      </c>
      <c r="B57" s="137"/>
    </row>
    <row r="58" spans="1:2" x14ac:dyDescent="0.45">
      <c r="A58" s="136" t="s">
        <v>371</v>
      </c>
      <c r="B58" s="138">
        <f>0</f>
        <v>0</v>
      </c>
    </row>
    <row r="59" spans="1:2" x14ac:dyDescent="0.45">
      <c r="A59" s="136" t="s">
        <v>372</v>
      </c>
      <c r="B59" s="138">
        <f>874752.51</f>
        <v>874752.51</v>
      </c>
    </row>
    <row r="60" spans="1:2" x14ac:dyDescent="0.45">
      <c r="A60" s="136" t="s">
        <v>373</v>
      </c>
      <c r="B60" s="138">
        <f>282470</f>
        <v>282470</v>
      </c>
    </row>
    <row r="61" spans="1:2" x14ac:dyDescent="0.45">
      <c r="A61" s="136" t="s">
        <v>374</v>
      </c>
      <c r="B61" s="138">
        <f>122714.22</f>
        <v>122714.22</v>
      </c>
    </row>
    <row r="62" spans="1:2" x14ac:dyDescent="0.45">
      <c r="A62" s="136" t="s">
        <v>375</v>
      </c>
      <c r="B62" s="139">
        <f>((((B57)+(B58))+(B59))+(B60))+(B61)</f>
        <v>1279936.73</v>
      </c>
    </row>
    <row r="63" spans="1:2" x14ac:dyDescent="0.45">
      <c r="A63" s="136" t="s">
        <v>376</v>
      </c>
      <c r="B63" s="137"/>
    </row>
    <row r="64" spans="1:2" x14ac:dyDescent="0.45">
      <c r="A64" s="136" t="s">
        <v>377</v>
      </c>
      <c r="B64" s="138">
        <f>0</f>
        <v>0</v>
      </c>
    </row>
    <row r="65" spans="1:2" x14ac:dyDescent="0.45">
      <c r="A65" s="136" t="s">
        <v>378</v>
      </c>
      <c r="B65" s="138">
        <f>-241298</f>
        <v>-241298</v>
      </c>
    </row>
    <row r="66" spans="1:2" x14ac:dyDescent="0.45">
      <c r="A66" s="136" t="s">
        <v>379</v>
      </c>
      <c r="B66" s="138">
        <f>-239677</f>
        <v>-239677</v>
      </c>
    </row>
    <row r="67" spans="1:2" x14ac:dyDescent="0.45">
      <c r="A67" s="136" t="s">
        <v>380</v>
      </c>
      <c r="B67" s="138">
        <f>-111151</f>
        <v>-111151</v>
      </c>
    </row>
    <row r="68" spans="1:2" x14ac:dyDescent="0.45">
      <c r="A68" s="136" t="s">
        <v>381</v>
      </c>
      <c r="B68" s="139">
        <f>((((B63)+(B64))+(B65))+(B66))+(B67)</f>
        <v>-592126</v>
      </c>
    </row>
    <row r="69" spans="1:2" x14ac:dyDescent="0.45">
      <c r="A69" s="136" t="s">
        <v>382</v>
      </c>
      <c r="B69" s="139">
        <f>(B62)+(B68)</f>
        <v>687810.73</v>
      </c>
    </row>
    <row r="70" spans="1:2" x14ac:dyDescent="0.45">
      <c r="A70" s="136" t="s">
        <v>383</v>
      </c>
      <c r="B70" s="137"/>
    </row>
    <row r="71" spans="1:2" x14ac:dyDescent="0.45">
      <c r="A71" s="136" t="s">
        <v>384</v>
      </c>
      <c r="B71" s="138">
        <f>1148869.54</f>
        <v>1148869.54</v>
      </c>
    </row>
    <row r="72" spans="1:2" x14ac:dyDescent="0.45">
      <c r="A72" s="136" t="s">
        <v>385</v>
      </c>
      <c r="B72" s="138">
        <f>510036.06</f>
        <v>510036.06</v>
      </c>
    </row>
    <row r="73" spans="1:2" x14ac:dyDescent="0.45">
      <c r="A73" s="136" t="s">
        <v>386</v>
      </c>
      <c r="B73" s="139">
        <f>(B71)+(B72)</f>
        <v>1658905.6000000001</v>
      </c>
    </row>
    <row r="74" spans="1:2" x14ac:dyDescent="0.45">
      <c r="A74" s="136" t="s">
        <v>387</v>
      </c>
      <c r="B74" s="139">
        <f>((B55)+(B69))+(B73)</f>
        <v>13716194.740000002</v>
      </c>
    </row>
    <row r="75" spans="1:2" x14ac:dyDescent="0.45">
      <c r="A75" s="136" t="s">
        <v>388</v>
      </c>
      <c r="B75" s="137"/>
    </row>
    <row r="76" spans="1:2" x14ac:dyDescent="0.45">
      <c r="A76" s="136" t="s">
        <v>389</v>
      </c>
      <c r="B76" s="137"/>
    </row>
    <row r="77" spans="1:2" x14ac:dyDescent="0.45">
      <c r="A77" s="136" t="s">
        <v>390</v>
      </c>
      <c r="B77" s="137"/>
    </row>
    <row r="78" spans="1:2" x14ac:dyDescent="0.45">
      <c r="A78" s="136" t="s">
        <v>391</v>
      </c>
      <c r="B78" s="137"/>
    </row>
    <row r="79" spans="1:2" x14ac:dyDescent="0.45">
      <c r="A79" s="136" t="s">
        <v>392</v>
      </c>
      <c r="B79" s="138">
        <f>0</f>
        <v>0</v>
      </c>
    </row>
    <row r="80" spans="1:2" x14ac:dyDescent="0.45">
      <c r="A80" s="136" t="s">
        <v>393</v>
      </c>
      <c r="B80" s="139">
        <f>B79</f>
        <v>0</v>
      </c>
    </row>
    <row r="81" spans="1:2" x14ac:dyDescent="0.45">
      <c r="A81" s="136" t="s">
        <v>394</v>
      </c>
      <c r="B81" s="137"/>
    </row>
    <row r="82" spans="1:2" x14ac:dyDescent="0.45">
      <c r="A82" s="136" t="s">
        <v>395</v>
      </c>
      <c r="B82" s="138">
        <f>289253.71</f>
        <v>289253.71000000002</v>
      </c>
    </row>
    <row r="83" spans="1:2" x14ac:dyDescent="0.45">
      <c r="A83" s="136" t="s">
        <v>396</v>
      </c>
      <c r="B83" s="138">
        <f>0</f>
        <v>0</v>
      </c>
    </row>
    <row r="84" spans="1:2" x14ac:dyDescent="0.45">
      <c r="A84" s="136" t="s">
        <v>397</v>
      </c>
      <c r="B84" s="138">
        <f>0</f>
        <v>0</v>
      </c>
    </row>
    <row r="85" spans="1:2" x14ac:dyDescent="0.45">
      <c r="A85" s="136" t="s">
        <v>398</v>
      </c>
      <c r="B85" s="138">
        <f>0</f>
        <v>0</v>
      </c>
    </row>
    <row r="86" spans="1:2" x14ac:dyDescent="0.45">
      <c r="A86" s="136" t="s">
        <v>399</v>
      </c>
      <c r="B86" s="138">
        <f>0</f>
        <v>0</v>
      </c>
    </row>
    <row r="87" spans="1:2" x14ac:dyDescent="0.45">
      <c r="A87" s="136" t="s">
        <v>400</v>
      </c>
      <c r="B87" s="138">
        <f>0</f>
        <v>0</v>
      </c>
    </row>
    <row r="88" spans="1:2" x14ac:dyDescent="0.45">
      <c r="A88" s="136" t="s">
        <v>401</v>
      </c>
      <c r="B88" s="138">
        <f>0</f>
        <v>0</v>
      </c>
    </row>
    <row r="89" spans="1:2" x14ac:dyDescent="0.45">
      <c r="A89" s="136" t="s">
        <v>402</v>
      </c>
      <c r="B89" s="139">
        <f>(((((B83)+(B84))+(B85))+(B86))+(B87))+(B88)</f>
        <v>0</v>
      </c>
    </row>
    <row r="90" spans="1:2" x14ac:dyDescent="0.45">
      <c r="A90" s="136" t="s">
        <v>403</v>
      </c>
      <c r="B90" s="138">
        <f>0</f>
        <v>0</v>
      </c>
    </row>
    <row r="91" spans="1:2" x14ac:dyDescent="0.45">
      <c r="A91" s="136" t="s">
        <v>404</v>
      </c>
      <c r="B91" s="138">
        <f>0</f>
        <v>0</v>
      </c>
    </row>
    <row r="92" spans="1:2" x14ac:dyDescent="0.45">
      <c r="A92" s="136" t="s">
        <v>405</v>
      </c>
      <c r="B92" s="138">
        <f>92250</f>
        <v>92250</v>
      </c>
    </row>
    <row r="93" spans="1:2" x14ac:dyDescent="0.45">
      <c r="A93" s="136" t="s">
        <v>406</v>
      </c>
      <c r="B93" s="139">
        <f>((((B82)+(B89))+(B90))+(B91))+(B92)</f>
        <v>381503.71</v>
      </c>
    </row>
    <row r="94" spans="1:2" x14ac:dyDescent="0.45">
      <c r="A94" s="136" t="s">
        <v>407</v>
      </c>
      <c r="B94" s="139">
        <f>(B80)+(B93)</f>
        <v>381503.71</v>
      </c>
    </row>
    <row r="95" spans="1:2" x14ac:dyDescent="0.45">
      <c r="A95" s="136" t="s">
        <v>408</v>
      </c>
      <c r="B95" s="137"/>
    </row>
    <row r="96" spans="1:2" x14ac:dyDescent="0.45">
      <c r="A96" s="136" t="s">
        <v>409</v>
      </c>
      <c r="B96" s="138">
        <f>0</f>
        <v>0</v>
      </c>
    </row>
    <row r="97" spans="1:2" x14ac:dyDescent="0.45">
      <c r="A97" s="136" t="s">
        <v>410</v>
      </c>
      <c r="B97" s="138">
        <f>0</f>
        <v>0</v>
      </c>
    </row>
    <row r="98" spans="1:2" x14ac:dyDescent="0.45">
      <c r="A98" s="136" t="s">
        <v>411</v>
      </c>
      <c r="B98" s="138">
        <f>1516.64</f>
        <v>1516.64</v>
      </c>
    </row>
    <row r="99" spans="1:2" x14ac:dyDescent="0.45">
      <c r="A99" s="136" t="s">
        <v>412</v>
      </c>
      <c r="B99" s="138">
        <f>281795.96</f>
        <v>281795.96000000002</v>
      </c>
    </row>
    <row r="100" spans="1:2" x14ac:dyDescent="0.45">
      <c r="A100" s="136" t="s">
        <v>413</v>
      </c>
      <c r="B100" s="138">
        <f>1198920.73</f>
        <v>1198920.73</v>
      </c>
    </row>
    <row r="101" spans="1:2" x14ac:dyDescent="0.45">
      <c r="A101" s="136" t="s">
        <v>414</v>
      </c>
      <c r="B101" s="139">
        <f>((((B96)+(B97))+(B98))+(B99))+(B100)</f>
        <v>1482233.33</v>
      </c>
    </row>
    <row r="102" spans="1:2" x14ac:dyDescent="0.45">
      <c r="A102" s="136" t="s">
        <v>415</v>
      </c>
      <c r="B102" s="139">
        <f>(B94)+(B101)</f>
        <v>1863737.04</v>
      </c>
    </row>
    <row r="103" spans="1:2" x14ac:dyDescent="0.45">
      <c r="A103" s="136" t="s">
        <v>416</v>
      </c>
      <c r="B103" s="137"/>
    </row>
    <row r="104" spans="1:2" x14ac:dyDescent="0.45">
      <c r="A104" s="136" t="s">
        <v>417</v>
      </c>
      <c r="B104" s="138">
        <f>0</f>
        <v>0</v>
      </c>
    </row>
    <row r="105" spans="1:2" x14ac:dyDescent="0.45">
      <c r="A105" s="136" t="s">
        <v>418</v>
      </c>
      <c r="B105" s="138">
        <f>12522209.53</f>
        <v>12522209.529999999</v>
      </c>
    </row>
    <row r="106" spans="1:2" x14ac:dyDescent="0.45">
      <c r="A106" s="136" t="s">
        <v>419</v>
      </c>
      <c r="B106" s="138">
        <f>-669751.83</f>
        <v>-669751.82999999996</v>
      </c>
    </row>
    <row r="107" spans="1:2" x14ac:dyDescent="0.45">
      <c r="A107" s="136" t="s">
        <v>420</v>
      </c>
      <c r="B107" s="139">
        <f>((B104)+(B105))+(B106)</f>
        <v>11852457.699999999</v>
      </c>
    </row>
    <row r="108" spans="1:2" x14ac:dyDescent="0.45">
      <c r="A108" s="136" t="s">
        <v>421</v>
      </c>
      <c r="B108" s="139">
        <f>(B102)+(B107)</f>
        <v>13716194.739999998</v>
      </c>
    </row>
    <row r="109" spans="1:2" x14ac:dyDescent="0.45">
      <c r="A109" s="136"/>
      <c r="B109" s="137"/>
    </row>
    <row r="112" spans="1:2" x14ac:dyDescent="0.45">
      <c r="A112" s="153" t="s">
        <v>520</v>
      </c>
      <c r="B112" s="154"/>
    </row>
  </sheetData>
  <mergeCells count="4">
    <mergeCell ref="A1:B1"/>
    <mergeCell ref="A2:B2"/>
    <mergeCell ref="A3:B3"/>
    <mergeCell ref="A112:B112"/>
  </mergeCells>
  <pageMargins left="0.7" right="0.7" top="0.75" bottom="0.75" header="0.3" footer="0.3"/>
  <pageSetup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B2E6-D584-4335-8E91-CFDC1559B8B2}">
  <sheetPr>
    <pageSetUpPr fitToPage="1"/>
  </sheetPr>
  <dimension ref="A1:E284"/>
  <sheetViews>
    <sheetView topLeftCell="A175" workbookViewId="0">
      <selection sqref="A1:E280"/>
    </sheetView>
  </sheetViews>
  <sheetFormatPr defaultColWidth="30" defaultRowHeight="14.25" x14ac:dyDescent="0.45"/>
  <cols>
    <col min="1" max="1" width="55" style="142" customWidth="1"/>
    <col min="2" max="5" width="14.73046875" style="142" customWidth="1"/>
    <col min="6" max="16384" width="30" style="142"/>
  </cols>
  <sheetData>
    <row r="1" spans="1:5" ht="17.649999999999999" x14ac:dyDescent="0.5">
      <c r="A1" s="155" t="s">
        <v>61</v>
      </c>
      <c r="B1" s="154"/>
      <c r="C1" s="154"/>
      <c r="D1" s="154"/>
      <c r="E1" s="154"/>
    </row>
    <row r="2" spans="1:5" ht="17.649999999999999" x14ac:dyDescent="0.5">
      <c r="A2" s="155" t="s">
        <v>464</v>
      </c>
      <c r="B2" s="154"/>
      <c r="C2" s="154"/>
      <c r="D2" s="154"/>
      <c r="E2" s="154"/>
    </row>
    <row r="3" spans="1:5" x14ac:dyDescent="0.45">
      <c r="A3" s="156" t="s">
        <v>483</v>
      </c>
      <c r="B3" s="154"/>
      <c r="C3" s="154"/>
      <c r="D3" s="154"/>
      <c r="E3" s="154"/>
    </row>
    <row r="5" spans="1:5" x14ac:dyDescent="0.45">
      <c r="A5" s="143"/>
      <c r="B5" s="157" t="s">
        <v>62</v>
      </c>
      <c r="C5" s="158"/>
      <c r="D5" s="158"/>
      <c r="E5" s="158"/>
    </row>
    <row r="6" spans="1:5" x14ac:dyDescent="0.45">
      <c r="A6" s="143"/>
      <c r="B6" s="144" t="s">
        <v>422</v>
      </c>
      <c r="C6" s="144" t="s">
        <v>423</v>
      </c>
      <c r="D6" s="144" t="s">
        <v>448</v>
      </c>
      <c r="E6" s="144" t="s">
        <v>452</v>
      </c>
    </row>
    <row r="7" spans="1:5" x14ac:dyDescent="0.45">
      <c r="A7" s="136" t="s">
        <v>63</v>
      </c>
      <c r="B7" s="137"/>
      <c r="C7" s="137"/>
      <c r="D7" s="137"/>
      <c r="E7" s="137"/>
    </row>
    <row r="8" spans="1:5" x14ac:dyDescent="0.45">
      <c r="A8" s="136" t="s">
        <v>64</v>
      </c>
      <c r="B8" s="137"/>
      <c r="C8" s="137"/>
      <c r="D8" s="138">
        <f t="shared" ref="D8:D61" si="0">(B8)-(C8)</f>
        <v>0</v>
      </c>
      <c r="E8" s="140" t="str">
        <f t="shared" ref="E8:E61" si="1">IF(C8=0,"",(B8)/(C8))</f>
        <v/>
      </c>
    </row>
    <row r="9" spans="1:5" x14ac:dyDescent="0.45">
      <c r="A9" s="136" t="s">
        <v>65</v>
      </c>
      <c r="B9" s="137"/>
      <c r="C9" s="137"/>
      <c r="D9" s="138">
        <f t="shared" si="0"/>
        <v>0</v>
      </c>
      <c r="E9" s="140" t="str">
        <f t="shared" si="1"/>
        <v/>
      </c>
    </row>
    <row r="10" spans="1:5" x14ac:dyDescent="0.45">
      <c r="A10" s="136" t="s">
        <v>66</v>
      </c>
      <c r="B10" s="138">
        <f>263263.13</f>
        <v>263263.13</v>
      </c>
      <c r="C10" s="138">
        <f>347335</f>
        <v>347335</v>
      </c>
      <c r="D10" s="138">
        <f t="shared" si="0"/>
        <v>-84071.87</v>
      </c>
      <c r="E10" s="140">
        <f t="shared" si="1"/>
        <v>0.75795163171002056</v>
      </c>
    </row>
    <row r="11" spans="1:5" x14ac:dyDescent="0.45">
      <c r="A11" s="136" t="s">
        <v>67</v>
      </c>
      <c r="B11" s="137"/>
      <c r="C11" s="138">
        <f>0</f>
        <v>0</v>
      </c>
      <c r="D11" s="138">
        <f t="shared" si="0"/>
        <v>0</v>
      </c>
      <c r="E11" s="140" t="str">
        <f t="shared" si="1"/>
        <v/>
      </c>
    </row>
    <row r="12" spans="1:5" x14ac:dyDescent="0.45">
      <c r="A12" s="136" t="s">
        <v>68</v>
      </c>
      <c r="B12" s="139">
        <f>((B9)+(B10))+(B11)</f>
        <v>263263.13</v>
      </c>
      <c r="C12" s="139">
        <f>((C9)+(C10))+(C11)</f>
        <v>347335</v>
      </c>
      <c r="D12" s="139">
        <f t="shared" si="0"/>
        <v>-84071.87</v>
      </c>
      <c r="E12" s="141">
        <f t="shared" si="1"/>
        <v>0.75795163171002056</v>
      </c>
    </row>
    <row r="13" spans="1:5" x14ac:dyDescent="0.45">
      <c r="A13" s="136" t="s">
        <v>424</v>
      </c>
      <c r="B13" s="137"/>
      <c r="C13" s="138">
        <f>0</f>
        <v>0</v>
      </c>
      <c r="D13" s="138">
        <f t="shared" si="0"/>
        <v>0</v>
      </c>
      <c r="E13" s="140" t="str">
        <f t="shared" si="1"/>
        <v/>
      </c>
    </row>
    <row r="14" spans="1:5" x14ac:dyDescent="0.45">
      <c r="A14" s="136" t="s">
        <v>70</v>
      </c>
      <c r="B14" s="138">
        <f>248250</f>
        <v>248250</v>
      </c>
      <c r="C14" s="138">
        <f>200250</f>
        <v>200250</v>
      </c>
      <c r="D14" s="138">
        <f t="shared" si="0"/>
        <v>48000</v>
      </c>
      <c r="E14" s="140">
        <f t="shared" si="1"/>
        <v>1.2397003745318351</v>
      </c>
    </row>
    <row r="15" spans="1:5" x14ac:dyDescent="0.45">
      <c r="A15" s="136" t="s">
        <v>484</v>
      </c>
      <c r="B15" s="138">
        <f>10000</f>
        <v>10000</v>
      </c>
      <c r="C15" s="137"/>
      <c r="D15" s="138">
        <f t="shared" si="0"/>
        <v>10000</v>
      </c>
      <c r="E15" s="140" t="str">
        <f t="shared" si="1"/>
        <v/>
      </c>
    </row>
    <row r="16" spans="1:5" x14ac:dyDescent="0.45">
      <c r="A16" s="136" t="s">
        <v>71</v>
      </c>
      <c r="B16" s="138">
        <f>89008</f>
        <v>89008</v>
      </c>
      <c r="C16" s="137"/>
      <c r="D16" s="138">
        <f t="shared" si="0"/>
        <v>89008</v>
      </c>
      <c r="E16" s="140" t="str">
        <f t="shared" si="1"/>
        <v/>
      </c>
    </row>
    <row r="17" spans="1:5" x14ac:dyDescent="0.45">
      <c r="A17" s="136" t="s">
        <v>425</v>
      </c>
      <c r="B17" s="137"/>
      <c r="C17" s="138">
        <f>89008</f>
        <v>89008</v>
      </c>
      <c r="D17" s="138">
        <f t="shared" si="0"/>
        <v>-89008</v>
      </c>
      <c r="E17" s="140">
        <f t="shared" si="1"/>
        <v>0</v>
      </c>
    </row>
    <row r="18" spans="1:5" x14ac:dyDescent="0.45">
      <c r="A18" s="136" t="s">
        <v>426</v>
      </c>
      <c r="B18" s="139">
        <f>(B16)+(B17)</f>
        <v>89008</v>
      </c>
      <c r="C18" s="139">
        <f>(C16)+(C17)</f>
        <v>89008</v>
      </c>
      <c r="D18" s="139">
        <f t="shared" si="0"/>
        <v>0</v>
      </c>
      <c r="E18" s="141">
        <f t="shared" si="1"/>
        <v>1</v>
      </c>
    </row>
    <row r="19" spans="1:5" x14ac:dyDescent="0.45">
      <c r="A19" s="136" t="s">
        <v>72</v>
      </c>
      <c r="B19" s="138">
        <f>14130</f>
        <v>14130</v>
      </c>
      <c r="C19" s="138">
        <f>17940</f>
        <v>17940</v>
      </c>
      <c r="D19" s="138">
        <f t="shared" si="0"/>
        <v>-3810</v>
      </c>
      <c r="E19" s="140">
        <f t="shared" si="1"/>
        <v>0.7876254180602007</v>
      </c>
    </row>
    <row r="20" spans="1:5" x14ac:dyDescent="0.45">
      <c r="A20" s="136" t="s">
        <v>73</v>
      </c>
      <c r="B20" s="137"/>
      <c r="C20" s="137"/>
      <c r="D20" s="138">
        <f t="shared" si="0"/>
        <v>0</v>
      </c>
      <c r="E20" s="140" t="str">
        <f t="shared" si="1"/>
        <v/>
      </c>
    </row>
    <row r="21" spans="1:5" x14ac:dyDescent="0.45">
      <c r="A21" s="136" t="s">
        <v>74</v>
      </c>
      <c r="B21" s="138">
        <f>17511.42</f>
        <v>17511.419999999998</v>
      </c>
      <c r="C21" s="138">
        <f>10374.17</f>
        <v>10374.17</v>
      </c>
      <c r="D21" s="138">
        <f t="shared" si="0"/>
        <v>7137.2499999999982</v>
      </c>
      <c r="E21" s="140">
        <f t="shared" si="1"/>
        <v>1.6879827494633304</v>
      </c>
    </row>
    <row r="22" spans="1:5" x14ac:dyDescent="0.45">
      <c r="A22" s="136" t="s">
        <v>75</v>
      </c>
      <c r="B22" s="138">
        <f>2965.46</f>
        <v>2965.46</v>
      </c>
      <c r="C22" s="138">
        <f>0</f>
        <v>0</v>
      </c>
      <c r="D22" s="138">
        <f t="shared" si="0"/>
        <v>2965.46</v>
      </c>
      <c r="E22" s="140" t="str">
        <f t="shared" si="1"/>
        <v/>
      </c>
    </row>
    <row r="23" spans="1:5" x14ac:dyDescent="0.45">
      <c r="A23" s="136" t="s">
        <v>76</v>
      </c>
      <c r="B23" s="139">
        <f>((B20)+(B21))+(B22)</f>
        <v>20476.879999999997</v>
      </c>
      <c r="C23" s="139">
        <f>((C20)+(C21))+(C22)</f>
        <v>10374.17</v>
      </c>
      <c r="D23" s="139">
        <f t="shared" si="0"/>
        <v>10102.709999999997</v>
      </c>
      <c r="E23" s="141">
        <f t="shared" si="1"/>
        <v>1.9738330873698808</v>
      </c>
    </row>
    <row r="24" spans="1:5" x14ac:dyDescent="0.45">
      <c r="A24" s="136" t="s">
        <v>77</v>
      </c>
      <c r="B24" s="137"/>
      <c r="C24" s="137"/>
      <c r="D24" s="138">
        <f t="shared" si="0"/>
        <v>0</v>
      </c>
      <c r="E24" s="140" t="str">
        <f t="shared" si="1"/>
        <v/>
      </c>
    </row>
    <row r="25" spans="1:5" x14ac:dyDescent="0.45">
      <c r="A25" s="136" t="s">
        <v>477</v>
      </c>
      <c r="B25" s="138">
        <f>68717.37</f>
        <v>68717.37</v>
      </c>
      <c r="C25" s="137"/>
      <c r="D25" s="138">
        <f t="shared" si="0"/>
        <v>68717.37</v>
      </c>
      <c r="E25" s="140" t="str">
        <f t="shared" si="1"/>
        <v/>
      </c>
    </row>
    <row r="26" spans="1:5" x14ac:dyDescent="0.45">
      <c r="A26" s="136" t="s">
        <v>78</v>
      </c>
      <c r="B26" s="138">
        <f>980525.54</f>
        <v>980525.54</v>
      </c>
      <c r="C26" s="138">
        <f>972638.06</f>
        <v>972638.06</v>
      </c>
      <c r="D26" s="138">
        <f t="shared" si="0"/>
        <v>7887.4799999999814</v>
      </c>
      <c r="E26" s="140">
        <f t="shared" si="1"/>
        <v>1.0081093680417976</v>
      </c>
    </row>
    <row r="27" spans="1:5" x14ac:dyDescent="0.45">
      <c r="A27" s="136" t="s">
        <v>299</v>
      </c>
      <c r="B27" s="138">
        <f>835000</f>
        <v>835000</v>
      </c>
      <c r="C27" s="138">
        <f>664250</f>
        <v>664250</v>
      </c>
      <c r="D27" s="138">
        <f t="shared" si="0"/>
        <v>170750</v>
      </c>
      <c r="E27" s="140">
        <f t="shared" si="1"/>
        <v>1.2570568310124199</v>
      </c>
    </row>
    <row r="28" spans="1:5" x14ac:dyDescent="0.45">
      <c r="A28" s="136" t="s">
        <v>79</v>
      </c>
      <c r="B28" s="138">
        <f>808503.29</f>
        <v>808503.29</v>
      </c>
      <c r="C28" s="138">
        <f>1296316.97</f>
        <v>1296316.97</v>
      </c>
      <c r="D28" s="138">
        <f t="shared" si="0"/>
        <v>-487813.67999999993</v>
      </c>
      <c r="E28" s="140">
        <f t="shared" si="1"/>
        <v>0.62369259117235809</v>
      </c>
    </row>
    <row r="29" spans="1:5" x14ac:dyDescent="0.45">
      <c r="A29" s="136" t="s">
        <v>80</v>
      </c>
      <c r="B29" s="139">
        <f>((((B24)+(B25))+(B26))+(B27))+(B28)</f>
        <v>2692746.2</v>
      </c>
      <c r="C29" s="139">
        <f>((((C24)+(C25))+(C26))+(C27))+(C28)</f>
        <v>2933205.0300000003</v>
      </c>
      <c r="D29" s="139">
        <f t="shared" si="0"/>
        <v>-240458.83000000007</v>
      </c>
      <c r="E29" s="141">
        <f t="shared" si="1"/>
        <v>0.91802181315637521</v>
      </c>
    </row>
    <row r="30" spans="1:5" x14ac:dyDescent="0.45">
      <c r="A30" s="136" t="s">
        <v>81</v>
      </c>
      <c r="B30" s="139">
        <f>((((((((B8)+(B12))+(B13))+(B14))+(B15))+(B18))+(B19))+(B23))+(B29)</f>
        <v>3337874.21</v>
      </c>
      <c r="C30" s="139">
        <f>((((((((C8)+(C12))+(C13))+(C14))+(C15))+(C18))+(C19))+(C23))+(C29)</f>
        <v>3598112.2</v>
      </c>
      <c r="D30" s="139">
        <f t="shared" si="0"/>
        <v>-260237.99000000022</v>
      </c>
      <c r="E30" s="141">
        <f t="shared" si="1"/>
        <v>0.92767374235856226</v>
      </c>
    </row>
    <row r="31" spans="1:5" x14ac:dyDescent="0.45">
      <c r="A31" s="136" t="s">
        <v>82</v>
      </c>
      <c r="B31" s="137"/>
      <c r="C31" s="137"/>
      <c r="D31" s="138">
        <f t="shared" si="0"/>
        <v>0</v>
      </c>
      <c r="E31" s="140" t="str">
        <f t="shared" si="1"/>
        <v/>
      </c>
    </row>
    <row r="32" spans="1:5" x14ac:dyDescent="0.45">
      <c r="A32" s="136" t="s">
        <v>83</v>
      </c>
      <c r="B32" s="137"/>
      <c r="C32" s="137"/>
      <c r="D32" s="138">
        <f t="shared" si="0"/>
        <v>0</v>
      </c>
      <c r="E32" s="140" t="str">
        <f t="shared" si="1"/>
        <v/>
      </c>
    </row>
    <row r="33" spans="1:5" x14ac:dyDescent="0.45">
      <c r="A33" s="136" t="s">
        <v>84</v>
      </c>
      <c r="B33" s="138">
        <f>3530</f>
        <v>3530</v>
      </c>
      <c r="C33" s="138">
        <f>10000</f>
        <v>10000</v>
      </c>
      <c r="D33" s="138">
        <f t="shared" si="0"/>
        <v>-6470</v>
      </c>
      <c r="E33" s="140">
        <f t="shared" si="1"/>
        <v>0.35299999999999998</v>
      </c>
    </row>
    <row r="34" spans="1:5" x14ac:dyDescent="0.45">
      <c r="A34" s="136" t="s">
        <v>85</v>
      </c>
      <c r="B34" s="137"/>
      <c r="C34" s="138">
        <f>0</f>
        <v>0</v>
      </c>
      <c r="D34" s="138">
        <f t="shared" si="0"/>
        <v>0</v>
      </c>
      <c r="E34" s="140" t="str">
        <f t="shared" si="1"/>
        <v/>
      </c>
    </row>
    <row r="35" spans="1:5" x14ac:dyDescent="0.45">
      <c r="A35" s="136" t="s">
        <v>86</v>
      </c>
      <c r="B35" s="139">
        <f>(B33)+(B34)</f>
        <v>3530</v>
      </c>
      <c r="C35" s="139">
        <f>(C33)+(C34)</f>
        <v>10000</v>
      </c>
      <c r="D35" s="139">
        <f t="shared" si="0"/>
        <v>-6470</v>
      </c>
      <c r="E35" s="141">
        <f t="shared" si="1"/>
        <v>0.35299999999999998</v>
      </c>
    </row>
    <row r="36" spans="1:5" x14ac:dyDescent="0.45">
      <c r="A36" s="136" t="s">
        <v>87</v>
      </c>
      <c r="B36" s="138">
        <f>1235</f>
        <v>1235</v>
      </c>
      <c r="C36" s="138">
        <f>2000</f>
        <v>2000</v>
      </c>
      <c r="D36" s="138">
        <f t="shared" si="0"/>
        <v>-765</v>
      </c>
      <c r="E36" s="140">
        <f t="shared" si="1"/>
        <v>0.61750000000000005</v>
      </c>
    </row>
    <row r="37" spans="1:5" x14ac:dyDescent="0.45">
      <c r="A37" s="136" t="s">
        <v>469</v>
      </c>
      <c r="B37" s="138">
        <f>1035</f>
        <v>1035</v>
      </c>
      <c r="C37" s="137"/>
      <c r="D37" s="138">
        <f t="shared" si="0"/>
        <v>1035</v>
      </c>
      <c r="E37" s="140" t="str">
        <f t="shared" si="1"/>
        <v/>
      </c>
    </row>
    <row r="38" spans="1:5" x14ac:dyDescent="0.45">
      <c r="A38" s="136" t="s">
        <v>467</v>
      </c>
      <c r="B38" s="138">
        <f>2110</f>
        <v>2110</v>
      </c>
      <c r="C38" s="137"/>
      <c r="D38" s="138">
        <f t="shared" si="0"/>
        <v>2110</v>
      </c>
      <c r="E38" s="140" t="str">
        <f t="shared" si="1"/>
        <v/>
      </c>
    </row>
    <row r="39" spans="1:5" x14ac:dyDescent="0.45">
      <c r="A39" s="136" t="s">
        <v>88</v>
      </c>
      <c r="B39" s="139">
        <f>((((B32)+(B35))+(B36))+(B37))+(B38)</f>
        <v>7910</v>
      </c>
      <c r="C39" s="139">
        <f>((((C32)+(C35))+(C36))+(C37))+(C38)</f>
        <v>12000</v>
      </c>
      <c r="D39" s="139">
        <f t="shared" si="0"/>
        <v>-4090</v>
      </c>
      <c r="E39" s="141">
        <f t="shared" si="1"/>
        <v>0.65916666666666668</v>
      </c>
    </row>
    <row r="40" spans="1:5" x14ac:dyDescent="0.45">
      <c r="A40" s="136" t="s">
        <v>89</v>
      </c>
      <c r="B40" s="137"/>
      <c r="C40" s="137"/>
      <c r="D40" s="138">
        <f t="shared" si="0"/>
        <v>0</v>
      </c>
      <c r="E40" s="140" t="str">
        <f t="shared" si="1"/>
        <v/>
      </c>
    </row>
    <row r="41" spans="1:5" x14ac:dyDescent="0.45">
      <c r="A41" s="136" t="s">
        <v>90</v>
      </c>
      <c r="B41" s="137"/>
      <c r="C41" s="137"/>
      <c r="D41" s="138">
        <f t="shared" si="0"/>
        <v>0</v>
      </c>
      <c r="E41" s="140" t="str">
        <f t="shared" si="1"/>
        <v/>
      </c>
    </row>
    <row r="42" spans="1:5" x14ac:dyDescent="0.45">
      <c r="A42" s="136" t="s">
        <v>91</v>
      </c>
      <c r="B42" s="138">
        <f>140625.66</f>
        <v>140625.66</v>
      </c>
      <c r="C42" s="138">
        <f>100000</f>
        <v>100000</v>
      </c>
      <c r="D42" s="138">
        <f t="shared" si="0"/>
        <v>40625.660000000003</v>
      </c>
      <c r="E42" s="140">
        <f t="shared" si="1"/>
        <v>1.4062566000000001</v>
      </c>
    </row>
    <row r="43" spans="1:5" x14ac:dyDescent="0.45">
      <c r="A43" s="136" t="s">
        <v>92</v>
      </c>
      <c r="B43" s="138">
        <f>10750</f>
        <v>10750</v>
      </c>
      <c r="C43" s="138">
        <f>0</f>
        <v>0</v>
      </c>
      <c r="D43" s="138">
        <f t="shared" si="0"/>
        <v>10750</v>
      </c>
      <c r="E43" s="140" t="str">
        <f t="shared" si="1"/>
        <v/>
      </c>
    </row>
    <row r="44" spans="1:5" x14ac:dyDescent="0.45">
      <c r="A44" s="136" t="s">
        <v>93</v>
      </c>
      <c r="B44" s="138">
        <f>42270</f>
        <v>42270</v>
      </c>
      <c r="C44" s="138">
        <f>0</f>
        <v>0</v>
      </c>
      <c r="D44" s="138">
        <f t="shared" si="0"/>
        <v>42270</v>
      </c>
      <c r="E44" s="140" t="str">
        <f t="shared" si="1"/>
        <v/>
      </c>
    </row>
    <row r="45" spans="1:5" x14ac:dyDescent="0.45">
      <c r="A45" s="136" t="s">
        <v>94</v>
      </c>
      <c r="B45" s="137"/>
      <c r="C45" s="138">
        <f>0</f>
        <v>0</v>
      </c>
      <c r="D45" s="138">
        <f t="shared" si="0"/>
        <v>0</v>
      </c>
      <c r="E45" s="140" t="str">
        <f t="shared" si="1"/>
        <v/>
      </c>
    </row>
    <row r="46" spans="1:5" x14ac:dyDescent="0.45">
      <c r="A46" s="136" t="s">
        <v>95</v>
      </c>
      <c r="B46" s="139">
        <f>((((B41)+(B42))+(B43))+(B44))+(B45)</f>
        <v>193645.66</v>
      </c>
      <c r="C46" s="139">
        <f>((((C41)+(C42))+(C43))+(C44))+(C45)</f>
        <v>100000</v>
      </c>
      <c r="D46" s="139">
        <f t="shared" si="0"/>
        <v>93645.66</v>
      </c>
      <c r="E46" s="141">
        <f t="shared" si="1"/>
        <v>1.9364566000000001</v>
      </c>
    </row>
    <row r="47" spans="1:5" x14ac:dyDescent="0.45">
      <c r="A47" s="136" t="s">
        <v>427</v>
      </c>
      <c r="B47" s="137"/>
      <c r="C47" s="137"/>
      <c r="D47" s="138">
        <f t="shared" si="0"/>
        <v>0</v>
      </c>
      <c r="E47" s="140" t="str">
        <f t="shared" si="1"/>
        <v/>
      </c>
    </row>
    <row r="48" spans="1:5" x14ac:dyDescent="0.45">
      <c r="A48" s="136" t="s">
        <v>428</v>
      </c>
      <c r="B48" s="137"/>
      <c r="C48" s="138">
        <f>0</f>
        <v>0</v>
      </c>
      <c r="D48" s="138">
        <f t="shared" si="0"/>
        <v>0</v>
      </c>
      <c r="E48" s="140" t="str">
        <f t="shared" si="1"/>
        <v/>
      </c>
    </row>
    <row r="49" spans="1:5" x14ac:dyDescent="0.45">
      <c r="A49" s="136" t="s">
        <v>429</v>
      </c>
      <c r="B49" s="137"/>
      <c r="C49" s="138">
        <f>0</f>
        <v>0</v>
      </c>
      <c r="D49" s="138">
        <f t="shared" si="0"/>
        <v>0</v>
      </c>
      <c r="E49" s="140" t="str">
        <f t="shared" si="1"/>
        <v/>
      </c>
    </row>
    <row r="50" spans="1:5" x14ac:dyDescent="0.45">
      <c r="A50" s="136" t="s">
        <v>430</v>
      </c>
      <c r="B50" s="137"/>
      <c r="C50" s="138">
        <f>0</f>
        <v>0</v>
      </c>
      <c r="D50" s="138">
        <f t="shared" si="0"/>
        <v>0</v>
      </c>
      <c r="E50" s="140" t="str">
        <f t="shared" si="1"/>
        <v/>
      </c>
    </row>
    <row r="51" spans="1:5" x14ac:dyDescent="0.45">
      <c r="A51" s="136" t="s">
        <v>431</v>
      </c>
      <c r="B51" s="139">
        <f>(((B47)+(B48))+(B49))+(B50)</f>
        <v>0</v>
      </c>
      <c r="C51" s="139">
        <f>(((C47)+(C48))+(C49))+(C50)</f>
        <v>0</v>
      </c>
      <c r="D51" s="139">
        <f t="shared" si="0"/>
        <v>0</v>
      </c>
      <c r="E51" s="141" t="str">
        <f t="shared" si="1"/>
        <v/>
      </c>
    </row>
    <row r="52" spans="1:5" x14ac:dyDescent="0.45">
      <c r="A52" s="136" t="s">
        <v>96</v>
      </c>
      <c r="B52" s="139">
        <f>((B40)+(B46))+(B51)</f>
        <v>193645.66</v>
      </c>
      <c r="C52" s="139">
        <f>((C40)+(C46))+(C51)</f>
        <v>100000</v>
      </c>
      <c r="D52" s="139">
        <f t="shared" si="0"/>
        <v>93645.66</v>
      </c>
      <c r="E52" s="141">
        <f t="shared" si="1"/>
        <v>1.9364566000000001</v>
      </c>
    </row>
    <row r="53" spans="1:5" x14ac:dyDescent="0.45">
      <c r="A53" s="136" t="s">
        <v>97</v>
      </c>
      <c r="B53" s="137"/>
      <c r="C53" s="137"/>
      <c r="D53" s="138">
        <f t="shared" si="0"/>
        <v>0</v>
      </c>
      <c r="E53" s="140" t="str">
        <f t="shared" si="1"/>
        <v/>
      </c>
    </row>
    <row r="54" spans="1:5" x14ac:dyDescent="0.45">
      <c r="A54" s="136" t="s">
        <v>98</v>
      </c>
      <c r="B54" s="138">
        <f>407</f>
        <v>407</v>
      </c>
      <c r="C54" s="137"/>
      <c r="D54" s="138">
        <f t="shared" si="0"/>
        <v>407</v>
      </c>
      <c r="E54" s="140" t="str">
        <f t="shared" si="1"/>
        <v/>
      </c>
    </row>
    <row r="55" spans="1:5" x14ac:dyDescent="0.45">
      <c r="A55" s="136" t="s">
        <v>99</v>
      </c>
      <c r="B55" s="139">
        <f>(B53)+(B54)</f>
        <v>407</v>
      </c>
      <c r="C55" s="139">
        <f>(C53)+(C54)</f>
        <v>0</v>
      </c>
      <c r="D55" s="139">
        <f t="shared" si="0"/>
        <v>407</v>
      </c>
      <c r="E55" s="141" t="str">
        <f t="shared" si="1"/>
        <v/>
      </c>
    </row>
    <row r="56" spans="1:5" x14ac:dyDescent="0.45">
      <c r="A56" s="136" t="s">
        <v>100</v>
      </c>
      <c r="B56" s="139">
        <f>(((B31)+(B39))+(B52))+(B55)</f>
        <v>201962.66</v>
      </c>
      <c r="C56" s="139">
        <f>(((C31)+(C39))+(C52))+(C55)</f>
        <v>112000</v>
      </c>
      <c r="D56" s="139">
        <f t="shared" si="0"/>
        <v>89962.66</v>
      </c>
      <c r="E56" s="141">
        <f t="shared" si="1"/>
        <v>1.8032380357142856</v>
      </c>
    </row>
    <row r="57" spans="1:5" x14ac:dyDescent="0.45">
      <c r="A57" s="136" t="s">
        <v>101</v>
      </c>
      <c r="B57" s="137"/>
      <c r="C57" s="137"/>
      <c r="D57" s="138">
        <f t="shared" si="0"/>
        <v>0</v>
      </c>
      <c r="E57" s="140" t="str">
        <f t="shared" si="1"/>
        <v/>
      </c>
    </row>
    <row r="58" spans="1:5" x14ac:dyDescent="0.45">
      <c r="A58" s="136" t="s">
        <v>102</v>
      </c>
      <c r="B58" s="138">
        <f>5422.63</f>
        <v>5422.63</v>
      </c>
      <c r="C58" s="137"/>
      <c r="D58" s="138">
        <f t="shared" si="0"/>
        <v>5422.63</v>
      </c>
      <c r="E58" s="140" t="str">
        <f t="shared" si="1"/>
        <v/>
      </c>
    </row>
    <row r="59" spans="1:5" x14ac:dyDescent="0.45">
      <c r="A59" s="136" t="s">
        <v>103</v>
      </c>
      <c r="B59" s="139">
        <f>(B57)+(B58)</f>
        <v>5422.63</v>
      </c>
      <c r="C59" s="139">
        <f>(C57)+(C58)</f>
        <v>0</v>
      </c>
      <c r="D59" s="139">
        <f t="shared" si="0"/>
        <v>5422.63</v>
      </c>
      <c r="E59" s="141" t="str">
        <f t="shared" si="1"/>
        <v/>
      </c>
    </row>
    <row r="60" spans="1:5" x14ac:dyDescent="0.45">
      <c r="A60" s="136" t="s">
        <v>20</v>
      </c>
      <c r="B60" s="139">
        <f>((B30)+(B56))+(B59)</f>
        <v>3545259.5</v>
      </c>
      <c r="C60" s="139">
        <f>((C30)+(C56))+(C59)</f>
        <v>3710112.2</v>
      </c>
      <c r="D60" s="139">
        <f t="shared" si="0"/>
        <v>-164852.70000000019</v>
      </c>
      <c r="E60" s="141">
        <f t="shared" si="1"/>
        <v>0.95556665375241212</v>
      </c>
    </row>
    <row r="61" spans="1:5" x14ac:dyDescent="0.45">
      <c r="A61" s="136" t="s">
        <v>104</v>
      </c>
      <c r="B61" s="139">
        <f>(B60)-(0)</f>
        <v>3545259.5</v>
      </c>
      <c r="C61" s="139">
        <f>(C60)-(0)</f>
        <v>3710112.2</v>
      </c>
      <c r="D61" s="139">
        <f t="shared" si="0"/>
        <v>-164852.70000000019</v>
      </c>
      <c r="E61" s="141">
        <f t="shared" si="1"/>
        <v>0.95556665375241212</v>
      </c>
    </row>
    <row r="62" spans="1:5" x14ac:dyDescent="0.45">
      <c r="A62" s="136" t="s">
        <v>105</v>
      </c>
      <c r="B62" s="137"/>
      <c r="C62" s="137"/>
      <c r="D62" s="137"/>
      <c r="E62" s="137"/>
    </row>
    <row r="63" spans="1:5" x14ac:dyDescent="0.45">
      <c r="A63" s="136" t="s">
        <v>106</v>
      </c>
      <c r="B63" s="137"/>
      <c r="C63" s="137"/>
      <c r="D63" s="138">
        <f t="shared" ref="D63:D126" si="2">(B63)-(C63)</f>
        <v>0</v>
      </c>
      <c r="E63" s="140" t="str">
        <f t="shared" ref="E63:E126" si="3">IF(C63=0,"",(B63)/(C63))</f>
        <v/>
      </c>
    </row>
    <row r="64" spans="1:5" x14ac:dyDescent="0.45">
      <c r="A64" s="136" t="s">
        <v>107</v>
      </c>
      <c r="B64" s="137"/>
      <c r="C64" s="137"/>
      <c r="D64" s="138">
        <f t="shared" si="2"/>
        <v>0</v>
      </c>
      <c r="E64" s="140" t="str">
        <f t="shared" si="3"/>
        <v/>
      </c>
    </row>
    <row r="65" spans="1:5" x14ac:dyDescent="0.45">
      <c r="A65" s="136" t="s">
        <v>108</v>
      </c>
      <c r="B65" s="138">
        <f>107291.69</f>
        <v>107291.69</v>
      </c>
      <c r="C65" s="138">
        <f>107291.66</f>
        <v>107291.66</v>
      </c>
      <c r="D65" s="138">
        <f t="shared" si="2"/>
        <v>2.9999999998835847E-2</v>
      </c>
      <c r="E65" s="140">
        <f t="shared" si="3"/>
        <v>1.0000002796116678</v>
      </c>
    </row>
    <row r="66" spans="1:5" x14ac:dyDescent="0.45">
      <c r="A66" s="136" t="s">
        <v>109</v>
      </c>
      <c r="B66" s="138">
        <f>115047.46</f>
        <v>115047.46</v>
      </c>
      <c r="C66" s="138">
        <f>115047.46</f>
        <v>115047.46</v>
      </c>
      <c r="D66" s="138">
        <f t="shared" si="2"/>
        <v>0</v>
      </c>
      <c r="E66" s="140">
        <f t="shared" si="3"/>
        <v>1</v>
      </c>
    </row>
    <row r="67" spans="1:5" x14ac:dyDescent="0.45">
      <c r="A67" s="136" t="s">
        <v>110</v>
      </c>
      <c r="B67" s="138">
        <f>47395.83</f>
        <v>47395.83</v>
      </c>
      <c r="C67" s="138">
        <f>47395.83</f>
        <v>47395.83</v>
      </c>
      <c r="D67" s="138">
        <f t="shared" si="2"/>
        <v>0</v>
      </c>
      <c r="E67" s="140">
        <f t="shared" si="3"/>
        <v>1</v>
      </c>
    </row>
    <row r="68" spans="1:5" x14ac:dyDescent="0.45">
      <c r="A68" s="136" t="s">
        <v>111</v>
      </c>
      <c r="B68" s="138">
        <f>38812.64</f>
        <v>38812.639999999999</v>
      </c>
      <c r="C68" s="138">
        <f>38812.64</f>
        <v>38812.639999999999</v>
      </c>
      <c r="D68" s="138">
        <f t="shared" si="2"/>
        <v>0</v>
      </c>
      <c r="E68" s="140">
        <f t="shared" si="3"/>
        <v>1</v>
      </c>
    </row>
    <row r="69" spans="1:5" x14ac:dyDescent="0.45">
      <c r="A69" s="136" t="s">
        <v>112</v>
      </c>
      <c r="B69" s="138">
        <f>24889.83</f>
        <v>24889.83</v>
      </c>
      <c r="C69" s="138">
        <f>24204.63</f>
        <v>24204.63</v>
      </c>
      <c r="D69" s="138">
        <f t="shared" si="2"/>
        <v>685.20000000000073</v>
      </c>
      <c r="E69" s="140">
        <f t="shared" si="3"/>
        <v>1.0283086335135054</v>
      </c>
    </row>
    <row r="70" spans="1:5" x14ac:dyDescent="0.45">
      <c r="A70" s="136" t="s">
        <v>113</v>
      </c>
      <c r="B70" s="138">
        <f>26037.36</f>
        <v>26037.360000000001</v>
      </c>
      <c r="C70" s="138">
        <f>26037.36</f>
        <v>26037.360000000001</v>
      </c>
      <c r="D70" s="138">
        <f t="shared" si="2"/>
        <v>0</v>
      </c>
      <c r="E70" s="140">
        <f t="shared" si="3"/>
        <v>1</v>
      </c>
    </row>
    <row r="71" spans="1:5" x14ac:dyDescent="0.45">
      <c r="A71" s="136" t="s">
        <v>114</v>
      </c>
      <c r="B71" s="138">
        <f>16731.84</f>
        <v>16731.84</v>
      </c>
      <c r="C71" s="138">
        <f>16731.84</f>
        <v>16731.84</v>
      </c>
      <c r="D71" s="138">
        <f t="shared" si="2"/>
        <v>0</v>
      </c>
      <c r="E71" s="140">
        <f t="shared" si="3"/>
        <v>1</v>
      </c>
    </row>
    <row r="72" spans="1:5" x14ac:dyDescent="0.45">
      <c r="A72" s="136" t="s">
        <v>115</v>
      </c>
      <c r="B72" s="138">
        <f>8235</f>
        <v>8235</v>
      </c>
      <c r="C72" s="138">
        <f>10020</f>
        <v>10020</v>
      </c>
      <c r="D72" s="138">
        <f t="shared" si="2"/>
        <v>-1785</v>
      </c>
      <c r="E72" s="140">
        <f t="shared" si="3"/>
        <v>0.82185628742514971</v>
      </c>
    </row>
    <row r="73" spans="1:5" x14ac:dyDescent="0.45">
      <c r="A73" s="136" t="s">
        <v>116</v>
      </c>
      <c r="B73" s="138">
        <f>19376.64</f>
        <v>19376.64</v>
      </c>
      <c r="C73" s="138">
        <f>19376.64</f>
        <v>19376.64</v>
      </c>
      <c r="D73" s="138">
        <f t="shared" si="2"/>
        <v>0</v>
      </c>
      <c r="E73" s="140">
        <f t="shared" si="3"/>
        <v>1</v>
      </c>
    </row>
    <row r="74" spans="1:5" x14ac:dyDescent="0.45">
      <c r="A74" s="136" t="s">
        <v>117</v>
      </c>
      <c r="B74" s="138">
        <f>43333.36</f>
        <v>43333.36</v>
      </c>
      <c r="C74" s="138">
        <f>43333.36</f>
        <v>43333.36</v>
      </c>
      <c r="D74" s="138">
        <f t="shared" si="2"/>
        <v>0</v>
      </c>
      <c r="E74" s="140">
        <f t="shared" si="3"/>
        <v>1</v>
      </c>
    </row>
    <row r="75" spans="1:5" x14ac:dyDescent="0.45">
      <c r="A75" s="136" t="s">
        <v>118</v>
      </c>
      <c r="B75" s="138">
        <f>21214.05</f>
        <v>21214.05</v>
      </c>
      <c r="C75" s="138">
        <f>20650.32</f>
        <v>20650.32</v>
      </c>
      <c r="D75" s="138">
        <f t="shared" si="2"/>
        <v>563.72999999999956</v>
      </c>
      <c r="E75" s="140">
        <f t="shared" si="3"/>
        <v>1.0272988505747127</v>
      </c>
    </row>
    <row r="76" spans="1:5" x14ac:dyDescent="0.45">
      <c r="A76" s="136" t="s">
        <v>119</v>
      </c>
      <c r="B76" s="138">
        <f>20381.19</f>
        <v>20381.189999999999</v>
      </c>
      <c r="C76" s="138">
        <f>20265.47</f>
        <v>20265.47</v>
      </c>
      <c r="D76" s="138">
        <f t="shared" si="2"/>
        <v>115.71999999999753</v>
      </c>
      <c r="E76" s="140">
        <f t="shared" si="3"/>
        <v>1.005710205586152</v>
      </c>
    </row>
    <row r="77" spans="1:5" x14ac:dyDescent="0.45">
      <c r="A77" s="136" t="s">
        <v>120</v>
      </c>
      <c r="B77" s="138">
        <f>13651.79</f>
        <v>13651.79</v>
      </c>
      <c r="C77" s="138">
        <f>13615.83</f>
        <v>13615.83</v>
      </c>
      <c r="D77" s="138">
        <f t="shared" si="2"/>
        <v>35.960000000000946</v>
      </c>
      <c r="E77" s="140">
        <f t="shared" si="3"/>
        <v>1.0026410435500444</v>
      </c>
    </row>
    <row r="78" spans="1:5" x14ac:dyDescent="0.45">
      <c r="A78" s="136" t="s">
        <v>121</v>
      </c>
      <c r="B78" s="138">
        <f>25161.83</f>
        <v>25161.83</v>
      </c>
      <c r="C78" s="138">
        <f>26529.67</f>
        <v>26529.67</v>
      </c>
      <c r="D78" s="138">
        <f t="shared" si="2"/>
        <v>-1367.8399999999965</v>
      </c>
      <c r="E78" s="140">
        <f t="shared" si="3"/>
        <v>0.94844112271279679</v>
      </c>
    </row>
    <row r="79" spans="1:5" x14ac:dyDescent="0.45">
      <c r="A79" s="136" t="s">
        <v>122</v>
      </c>
      <c r="B79" s="138">
        <f>16286</f>
        <v>16286</v>
      </c>
      <c r="C79" s="138">
        <f>16286</f>
        <v>16286</v>
      </c>
      <c r="D79" s="138">
        <f t="shared" si="2"/>
        <v>0</v>
      </c>
      <c r="E79" s="140">
        <f t="shared" si="3"/>
        <v>1</v>
      </c>
    </row>
    <row r="80" spans="1:5" x14ac:dyDescent="0.45">
      <c r="A80" s="136" t="s">
        <v>123</v>
      </c>
      <c r="B80" s="138">
        <f>9935.89</f>
        <v>9935.89</v>
      </c>
      <c r="C80" s="138">
        <f>26666.64</f>
        <v>26666.639999999999</v>
      </c>
      <c r="D80" s="138">
        <f t="shared" si="2"/>
        <v>-16730.75</v>
      </c>
      <c r="E80" s="140">
        <f t="shared" si="3"/>
        <v>0.3725962475962476</v>
      </c>
    </row>
    <row r="81" spans="1:5" x14ac:dyDescent="0.45">
      <c r="A81" s="136" t="s">
        <v>124</v>
      </c>
      <c r="B81" s="138">
        <f>29333.36</f>
        <v>29333.360000000001</v>
      </c>
      <c r="C81" s="138">
        <f>29333.36</f>
        <v>29333.360000000001</v>
      </c>
      <c r="D81" s="138">
        <f t="shared" si="2"/>
        <v>0</v>
      </c>
      <c r="E81" s="140">
        <f t="shared" si="3"/>
        <v>1</v>
      </c>
    </row>
    <row r="82" spans="1:5" x14ac:dyDescent="0.45">
      <c r="A82" s="136" t="s">
        <v>125</v>
      </c>
      <c r="B82" s="138">
        <f>7210</f>
        <v>7210</v>
      </c>
      <c r="C82" s="138">
        <f>7073.16</f>
        <v>7073.16</v>
      </c>
      <c r="D82" s="138">
        <f t="shared" si="2"/>
        <v>136.84000000000015</v>
      </c>
      <c r="E82" s="140">
        <f t="shared" si="3"/>
        <v>1.0193463741807056</v>
      </c>
    </row>
    <row r="83" spans="1:5" x14ac:dyDescent="0.45">
      <c r="A83" s="136" t="s">
        <v>126</v>
      </c>
      <c r="B83" s="138">
        <f>24868.08</f>
        <v>24868.080000000002</v>
      </c>
      <c r="C83" s="138">
        <f>24873.2</f>
        <v>24873.200000000001</v>
      </c>
      <c r="D83" s="138">
        <f t="shared" si="2"/>
        <v>-5.1199999999989814</v>
      </c>
      <c r="E83" s="140">
        <f t="shared" si="3"/>
        <v>0.99979415595902421</v>
      </c>
    </row>
    <row r="84" spans="1:5" x14ac:dyDescent="0.45">
      <c r="A84" s="136" t="s">
        <v>127</v>
      </c>
      <c r="B84" s="138">
        <f>22752.24</f>
        <v>22752.240000000002</v>
      </c>
      <c r="C84" s="138">
        <f>22752.24</f>
        <v>22752.240000000002</v>
      </c>
      <c r="D84" s="138">
        <f t="shared" si="2"/>
        <v>0</v>
      </c>
      <c r="E84" s="140">
        <f t="shared" si="3"/>
        <v>1</v>
      </c>
    </row>
    <row r="85" spans="1:5" x14ac:dyDescent="0.45">
      <c r="A85" s="136" t="s">
        <v>128</v>
      </c>
      <c r="B85" s="138">
        <f>37787</f>
        <v>37787</v>
      </c>
      <c r="C85" s="138">
        <f>26035.81</f>
        <v>26035.81</v>
      </c>
      <c r="D85" s="138">
        <f t="shared" si="2"/>
        <v>11751.189999999999</v>
      </c>
      <c r="E85" s="140">
        <f t="shared" si="3"/>
        <v>1.4513472021803815</v>
      </c>
    </row>
    <row r="86" spans="1:5" x14ac:dyDescent="0.45">
      <c r="A86" s="136" t="s">
        <v>432</v>
      </c>
      <c r="B86" s="137"/>
      <c r="C86" s="138">
        <f>0</f>
        <v>0</v>
      </c>
      <c r="D86" s="138">
        <f t="shared" si="2"/>
        <v>0</v>
      </c>
      <c r="E86" s="140" t="str">
        <f t="shared" si="3"/>
        <v/>
      </c>
    </row>
    <row r="87" spans="1:5" x14ac:dyDescent="0.45">
      <c r="A87" s="136" t="s">
        <v>129</v>
      </c>
      <c r="B87" s="138">
        <f>27666.64</f>
        <v>27666.639999999999</v>
      </c>
      <c r="C87" s="138">
        <f>27666.64</f>
        <v>27666.639999999999</v>
      </c>
      <c r="D87" s="138">
        <f t="shared" si="2"/>
        <v>0</v>
      </c>
      <c r="E87" s="140">
        <f t="shared" si="3"/>
        <v>1</v>
      </c>
    </row>
    <row r="88" spans="1:5" x14ac:dyDescent="0.45">
      <c r="A88" s="136" t="s">
        <v>130</v>
      </c>
      <c r="B88" s="138">
        <f>22220</f>
        <v>22220</v>
      </c>
      <c r="C88" s="138">
        <f>21418</f>
        <v>21418</v>
      </c>
      <c r="D88" s="138">
        <f t="shared" si="2"/>
        <v>802</v>
      </c>
      <c r="E88" s="140">
        <f t="shared" si="3"/>
        <v>1.0374451396022037</v>
      </c>
    </row>
    <row r="89" spans="1:5" x14ac:dyDescent="0.45">
      <c r="A89" s="136" t="s">
        <v>131</v>
      </c>
      <c r="B89" s="138">
        <f>19557.6</f>
        <v>19557.599999999999</v>
      </c>
      <c r="C89" s="138">
        <f>19557.6</f>
        <v>19557.599999999999</v>
      </c>
      <c r="D89" s="138">
        <f t="shared" si="2"/>
        <v>0</v>
      </c>
      <c r="E89" s="140">
        <f t="shared" si="3"/>
        <v>1</v>
      </c>
    </row>
    <row r="90" spans="1:5" x14ac:dyDescent="0.45">
      <c r="A90" s="136" t="s">
        <v>132</v>
      </c>
      <c r="B90" s="138">
        <f>33075.04</f>
        <v>33075.040000000001</v>
      </c>
      <c r="C90" s="138">
        <f>33075.04</f>
        <v>33075.040000000001</v>
      </c>
      <c r="D90" s="138">
        <f t="shared" si="2"/>
        <v>0</v>
      </c>
      <c r="E90" s="140">
        <f t="shared" si="3"/>
        <v>1</v>
      </c>
    </row>
    <row r="91" spans="1:5" x14ac:dyDescent="0.45">
      <c r="A91" s="136" t="s">
        <v>133</v>
      </c>
      <c r="B91" s="138">
        <f>19557.6</f>
        <v>19557.599999999999</v>
      </c>
      <c r="C91" s="138">
        <f>19557.6</f>
        <v>19557.599999999999</v>
      </c>
      <c r="D91" s="138">
        <f t="shared" si="2"/>
        <v>0</v>
      </c>
      <c r="E91" s="140">
        <f t="shared" si="3"/>
        <v>1</v>
      </c>
    </row>
    <row r="92" spans="1:5" x14ac:dyDescent="0.45">
      <c r="A92" s="136" t="s">
        <v>134</v>
      </c>
      <c r="B92" s="138">
        <f>23427.36</f>
        <v>23427.360000000001</v>
      </c>
      <c r="C92" s="138">
        <f>23427.36</f>
        <v>23427.360000000001</v>
      </c>
      <c r="D92" s="138">
        <f t="shared" si="2"/>
        <v>0</v>
      </c>
      <c r="E92" s="140">
        <f t="shared" si="3"/>
        <v>1</v>
      </c>
    </row>
    <row r="93" spans="1:5" x14ac:dyDescent="0.45">
      <c r="A93" s="136" t="s">
        <v>135</v>
      </c>
      <c r="B93" s="138">
        <f>42176.5</f>
        <v>42176.5</v>
      </c>
      <c r="C93" s="138">
        <f>38036</f>
        <v>38036</v>
      </c>
      <c r="D93" s="138">
        <f t="shared" si="2"/>
        <v>4140.5</v>
      </c>
      <c r="E93" s="140">
        <f t="shared" si="3"/>
        <v>1.1088573982542853</v>
      </c>
    </row>
    <row r="94" spans="1:5" x14ac:dyDescent="0.45">
      <c r="A94" s="136" t="s">
        <v>136</v>
      </c>
      <c r="B94" s="138">
        <f>20914.8</f>
        <v>20914.8</v>
      </c>
      <c r="C94" s="138">
        <f>20914.8</f>
        <v>20914.8</v>
      </c>
      <c r="D94" s="138">
        <f t="shared" si="2"/>
        <v>0</v>
      </c>
      <c r="E94" s="140">
        <f t="shared" si="3"/>
        <v>1</v>
      </c>
    </row>
    <row r="95" spans="1:5" x14ac:dyDescent="0.45">
      <c r="A95" s="136" t="s">
        <v>137</v>
      </c>
      <c r="B95" s="138">
        <f>56000</f>
        <v>56000</v>
      </c>
      <c r="C95" s="138">
        <f>56000</f>
        <v>56000</v>
      </c>
      <c r="D95" s="138">
        <f t="shared" si="2"/>
        <v>0</v>
      </c>
      <c r="E95" s="140">
        <f t="shared" si="3"/>
        <v>1</v>
      </c>
    </row>
    <row r="96" spans="1:5" x14ac:dyDescent="0.45">
      <c r="A96" s="136" t="s">
        <v>138</v>
      </c>
      <c r="B96" s="138">
        <f>45666.64</f>
        <v>45666.64</v>
      </c>
      <c r="C96" s="138">
        <f>22833.32</f>
        <v>22833.32</v>
      </c>
      <c r="D96" s="138">
        <f t="shared" si="2"/>
        <v>22833.32</v>
      </c>
      <c r="E96" s="140">
        <f t="shared" si="3"/>
        <v>2</v>
      </c>
    </row>
    <row r="97" spans="1:5" x14ac:dyDescent="0.45">
      <c r="A97" s="136" t="s">
        <v>139</v>
      </c>
      <c r="B97" s="138">
        <f>22763.02</f>
        <v>22763.02</v>
      </c>
      <c r="C97" s="138">
        <f>22763</f>
        <v>22763</v>
      </c>
      <c r="D97" s="138">
        <f t="shared" si="2"/>
        <v>2.0000000000436557E-2</v>
      </c>
      <c r="E97" s="140">
        <f t="shared" si="3"/>
        <v>1.0000008786188113</v>
      </c>
    </row>
    <row r="98" spans="1:5" x14ac:dyDescent="0.45">
      <c r="A98" s="136" t="s">
        <v>140</v>
      </c>
      <c r="B98" s="138">
        <f>9448.12</f>
        <v>9448.1200000000008</v>
      </c>
      <c r="C98" s="138">
        <f>9622.12</f>
        <v>9622.1200000000008</v>
      </c>
      <c r="D98" s="138">
        <f t="shared" si="2"/>
        <v>-174</v>
      </c>
      <c r="E98" s="140">
        <f t="shared" si="3"/>
        <v>0.98191666701309066</v>
      </c>
    </row>
    <row r="99" spans="1:5" x14ac:dyDescent="0.45">
      <c r="A99" s="136" t="s">
        <v>141</v>
      </c>
      <c r="B99" s="138">
        <f>20580.72</f>
        <v>20580.72</v>
      </c>
      <c r="C99" s="138">
        <f>20580.72</f>
        <v>20580.72</v>
      </c>
      <c r="D99" s="138">
        <f t="shared" si="2"/>
        <v>0</v>
      </c>
      <c r="E99" s="140">
        <f t="shared" si="3"/>
        <v>1</v>
      </c>
    </row>
    <row r="100" spans="1:5" x14ac:dyDescent="0.45">
      <c r="A100" s="136" t="s">
        <v>142</v>
      </c>
      <c r="B100" s="138">
        <f>19898.64</f>
        <v>19898.64</v>
      </c>
      <c r="C100" s="138">
        <f>19898.64</f>
        <v>19898.64</v>
      </c>
      <c r="D100" s="138">
        <f t="shared" si="2"/>
        <v>0</v>
      </c>
      <c r="E100" s="140">
        <f t="shared" si="3"/>
        <v>1</v>
      </c>
    </row>
    <row r="101" spans="1:5" x14ac:dyDescent="0.45">
      <c r="A101" s="136" t="s">
        <v>143</v>
      </c>
      <c r="B101" s="138">
        <f>36666.64</f>
        <v>36666.639999999999</v>
      </c>
      <c r="C101" s="138">
        <f>36666.64</f>
        <v>36666.639999999999</v>
      </c>
      <c r="D101" s="138">
        <f t="shared" si="2"/>
        <v>0</v>
      </c>
      <c r="E101" s="140">
        <f t="shared" si="3"/>
        <v>1</v>
      </c>
    </row>
    <row r="102" spans="1:5" x14ac:dyDescent="0.45">
      <c r="A102" s="136" t="s">
        <v>144</v>
      </c>
      <c r="B102" s="138">
        <f>30375.04</f>
        <v>30375.040000000001</v>
      </c>
      <c r="C102" s="138">
        <f>30375.04</f>
        <v>30375.040000000001</v>
      </c>
      <c r="D102" s="138">
        <f t="shared" si="2"/>
        <v>0</v>
      </c>
      <c r="E102" s="140">
        <f t="shared" si="3"/>
        <v>1</v>
      </c>
    </row>
    <row r="103" spans="1:5" x14ac:dyDescent="0.45">
      <c r="A103" s="136" t="s">
        <v>145</v>
      </c>
      <c r="B103" s="138">
        <f>20246.64</f>
        <v>20246.64</v>
      </c>
      <c r="C103" s="138">
        <f>20246.64</f>
        <v>20246.64</v>
      </c>
      <c r="D103" s="138">
        <f t="shared" si="2"/>
        <v>0</v>
      </c>
      <c r="E103" s="140">
        <f t="shared" si="3"/>
        <v>1</v>
      </c>
    </row>
    <row r="104" spans="1:5" x14ac:dyDescent="0.45">
      <c r="A104" s="136" t="s">
        <v>146</v>
      </c>
      <c r="B104" s="138">
        <f>21548.16</f>
        <v>21548.16</v>
      </c>
      <c r="C104" s="138">
        <f>21548.16</f>
        <v>21548.16</v>
      </c>
      <c r="D104" s="138">
        <f t="shared" si="2"/>
        <v>0</v>
      </c>
      <c r="E104" s="140">
        <f t="shared" si="3"/>
        <v>1</v>
      </c>
    </row>
    <row r="105" spans="1:5" x14ac:dyDescent="0.45">
      <c r="A105" s="136" t="s">
        <v>147</v>
      </c>
      <c r="B105" s="138">
        <f>36112.64</f>
        <v>36112.639999999999</v>
      </c>
      <c r="C105" s="138">
        <f>36112.64</f>
        <v>36112.639999999999</v>
      </c>
      <c r="D105" s="138">
        <f t="shared" si="2"/>
        <v>0</v>
      </c>
      <c r="E105" s="140">
        <f t="shared" si="3"/>
        <v>1</v>
      </c>
    </row>
    <row r="106" spans="1:5" x14ac:dyDescent="0.45">
      <c r="A106" s="136" t="s">
        <v>454</v>
      </c>
      <c r="B106" s="138">
        <f>27500</f>
        <v>27500</v>
      </c>
      <c r="C106" s="138">
        <f>27500</f>
        <v>27500</v>
      </c>
      <c r="D106" s="138">
        <f t="shared" si="2"/>
        <v>0</v>
      </c>
      <c r="E106" s="140">
        <f t="shared" si="3"/>
        <v>1</v>
      </c>
    </row>
    <row r="107" spans="1:5" x14ac:dyDescent="0.45">
      <c r="A107" s="136" t="s">
        <v>148</v>
      </c>
      <c r="B107" s="138">
        <f>17720.16</f>
        <v>17720.16</v>
      </c>
      <c r="C107" s="138">
        <f>17720.16</f>
        <v>17720.16</v>
      </c>
      <c r="D107" s="138">
        <f t="shared" si="2"/>
        <v>0</v>
      </c>
      <c r="E107" s="140">
        <f t="shared" si="3"/>
        <v>1</v>
      </c>
    </row>
    <row r="108" spans="1:5" x14ac:dyDescent="0.45">
      <c r="A108" s="136" t="s">
        <v>149</v>
      </c>
      <c r="B108" s="138">
        <f>36666.64</f>
        <v>36666.639999999999</v>
      </c>
      <c r="C108" s="138">
        <f>36666.64</f>
        <v>36666.639999999999</v>
      </c>
      <c r="D108" s="138">
        <f t="shared" si="2"/>
        <v>0</v>
      </c>
      <c r="E108" s="140">
        <f t="shared" si="3"/>
        <v>1</v>
      </c>
    </row>
    <row r="109" spans="1:5" x14ac:dyDescent="0.45">
      <c r="A109" s="136" t="s">
        <v>150</v>
      </c>
      <c r="B109" s="138">
        <f>10112</f>
        <v>10112</v>
      </c>
      <c r="C109" s="138">
        <f>11554</f>
        <v>11554</v>
      </c>
      <c r="D109" s="138">
        <f t="shared" si="2"/>
        <v>-1442</v>
      </c>
      <c r="E109" s="140">
        <f t="shared" si="3"/>
        <v>0.87519473775315904</v>
      </c>
    </row>
    <row r="110" spans="1:5" x14ac:dyDescent="0.45">
      <c r="A110" s="136" t="s">
        <v>151</v>
      </c>
      <c r="B110" s="138">
        <f>6625</f>
        <v>6625</v>
      </c>
      <c r="C110" s="138">
        <f>6262.5</f>
        <v>6262.5</v>
      </c>
      <c r="D110" s="138">
        <f t="shared" si="2"/>
        <v>362.5</v>
      </c>
      <c r="E110" s="140">
        <f t="shared" si="3"/>
        <v>1.0578842315369261</v>
      </c>
    </row>
    <row r="111" spans="1:5" x14ac:dyDescent="0.45">
      <c r="A111" s="136" t="s">
        <v>152</v>
      </c>
      <c r="B111" s="138">
        <f>21165.36</f>
        <v>21165.360000000001</v>
      </c>
      <c r="C111" s="138">
        <f>21165.36</f>
        <v>21165.360000000001</v>
      </c>
      <c r="D111" s="138">
        <f t="shared" si="2"/>
        <v>0</v>
      </c>
      <c r="E111" s="140">
        <f t="shared" si="3"/>
        <v>1</v>
      </c>
    </row>
    <row r="112" spans="1:5" x14ac:dyDescent="0.45">
      <c r="A112" s="136" t="s">
        <v>153</v>
      </c>
      <c r="B112" s="138">
        <f>20580.72</f>
        <v>20580.72</v>
      </c>
      <c r="C112" s="138">
        <f>20580.72</f>
        <v>20580.72</v>
      </c>
      <c r="D112" s="138">
        <f t="shared" si="2"/>
        <v>0</v>
      </c>
      <c r="E112" s="140">
        <f t="shared" si="3"/>
        <v>1</v>
      </c>
    </row>
    <row r="113" spans="1:5" x14ac:dyDescent="0.45">
      <c r="A113" s="136" t="s">
        <v>154</v>
      </c>
      <c r="B113" s="138">
        <f>18979.92</f>
        <v>18979.919999999998</v>
      </c>
      <c r="C113" s="138">
        <f>18979.92</f>
        <v>18979.919999999998</v>
      </c>
      <c r="D113" s="138">
        <f t="shared" si="2"/>
        <v>0</v>
      </c>
      <c r="E113" s="140">
        <f t="shared" si="3"/>
        <v>1</v>
      </c>
    </row>
    <row r="114" spans="1:5" x14ac:dyDescent="0.45">
      <c r="A114" s="136" t="s">
        <v>155</v>
      </c>
      <c r="B114" s="138">
        <f>23142</f>
        <v>23142</v>
      </c>
      <c r="C114" s="138">
        <f>23142</f>
        <v>23142</v>
      </c>
      <c r="D114" s="138">
        <f t="shared" si="2"/>
        <v>0</v>
      </c>
      <c r="E114" s="140">
        <f t="shared" si="3"/>
        <v>1</v>
      </c>
    </row>
    <row r="115" spans="1:5" x14ac:dyDescent="0.45">
      <c r="A115" s="136" t="s">
        <v>156</v>
      </c>
      <c r="B115" s="138">
        <f>9740</f>
        <v>9740</v>
      </c>
      <c r="C115" s="138">
        <f>10852</f>
        <v>10852</v>
      </c>
      <c r="D115" s="138">
        <f t="shared" si="2"/>
        <v>-1112</v>
      </c>
      <c r="E115" s="140">
        <f t="shared" si="3"/>
        <v>0.8975304091411721</v>
      </c>
    </row>
    <row r="116" spans="1:5" x14ac:dyDescent="0.45">
      <c r="A116" s="136" t="s">
        <v>157</v>
      </c>
      <c r="B116" s="138">
        <f>660</f>
        <v>660</v>
      </c>
      <c r="C116" s="138">
        <f>466.2</f>
        <v>466.2</v>
      </c>
      <c r="D116" s="138">
        <f t="shared" si="2"/>
        <v>193.8</v>
      </c>
      <c r="E116" s="140">
        <f t="shared" si="3"/>
        <v>1.4157014157014158</v>
      </c>
    </row>
    <row r="117" spans="1:5" x14ac:dyDescent="0.45">
      <c r="A117" s="136" t="s">
        <v>158</v>
      </c>
      <c r="B117" s="138">
        <f>19383.6</f>
        <v>19383.599999999999</v>
      </c>
      <c r="C117" s="138">
        <f>19383.6</f>
        <v>19383.599999999999</v>
      </c>
      <c r="D117" s="138">
        <f t="shared" si="2"/>
        <v>0</v>
      </c>
      <c r="E117" s="140">
        <f t="shared" si="3"/>
        <v>1</v>
      </c>
    </row>
    <row r="118" spans="1:5" x14ac:dyDescent="0.45">
      <c r="A118" s="136" t="s">
        <v>451</v>
      </c>
      <c r="B118" s="138">
        <f>17546.16</f>
        <v>17546.16</v>
      </c>
      <c r="C118" s="138">
        <f>17546.16</f>
        <v>17546.16</v>
      </c>
      <c r="D118" s="138">
        <f t="shared" si="2"/>
        <v>0</v>
      </c>
      <c r="E118" s="140">
        <f t="shared" si="3"/>
        <v>1</v>
      </c>
    </row>
    <row r="119" spans="1:5" x14ac:dyDescent="0.45">
      <c r="A119" s="136" t="s">
        <v>159</v>
      </c>
      <c r="B119" s="138">
        <f>17303.52</f>
        <v>17303.52</v>
      </c>
      <c r="C119" s="138">
        <f>17010.24</f>
        <v>17010.240000000002</v>
      </c>
      <c r="D119" s="138">
        <f t="shared" si="2"/>
        <v>293.27999999999884</v>
      </c>
      <c r="E119" s="140">
        <f t="shared" si="3"/>
        <v>1.0172413793103448</v>
      </c>
    </row>
    <row r="120" spans="1:5" x14ac:dyDescent="0.45">
      <c r="A120" s="136" t="s">
        <v>160</v>
      </c>
      <c r="B120" s="138">
        <f>21741.04</f>
        <v>21741.040000000001</v>
      </c>
      <c r="C120" s="138">
        <f>17741.03</f>
        <v>17741.03</v>
      </c>
      <c r="D120" s="138">
        <f t="shared" si="2"/>
        <v>4000.010000000002</v>
      </c>
      <c r="E120" s="140">
        <f t="shared" si="3"/>
        <v>1.2254666160871157</v>
      </c>
    </row>
    <row r="121" spans="1:5" x14ac:dyDescent="0.45">
      <c r="A121" s="136" t="s">
        <v>161</v>
      </c>
      <c r="B121" s="138">
        <f>36666.64</f>
        <v>36666.639999999999</v>
      </c>
      <c r="C121" s="138">
        <f>36666.64</f>
        <v>36666.639999999999</v>
      </c>
      <c r="D121" s="138">
        <f t="shared" si="2"/>
        <v>0</v>
      </c>
      <c r="E121" s="140">
        <f t="shared" si="3"/>
        <v>1</v>
      </c>
    </row>
    <row r="122" spans="1:5" x14ac:dyDescent="0.45">
      <c r="A122" s="136" t="s">
        <v>453</v>
      </c>
      <c r="B122" s="138">
        <f>16008</f>
        <v>16008</v>
      </c>
      <c r="C122" s="138">
        <f>14200</f>
        <v>14200</v>
      </c>
      <c r="D122" s="138">
        <f t="shared" si="2"/>
        <v>1808</v>
      </c>
      <c r="E122" s="140">
        <f t="shared" si="3"/>
        <v>1.1273239436619718</v>
      </c>
    </row>
    <row r="123" spans="1:5" x14ac:dyDescent="0.45">
      <c r="A123" s="136" t="s">
        <v>162</v>
      </c>
      <c r="B123" s="138">
        <f>19494.96</f>
        <v>19494.96</v>
      </c>
      <c r="C123" s="138">
        <f>19494.96</f>
        <v>19494.96</v>
      </c>
      <c r="D123" s="138">
        <f t="shared" si="2"/>
        <v>0</v>
      </c>
      <c r="E123" s="140">
        <f t="shared" si="3"/>
        <v>1</v>
      </c>
    </row>
    <row r="124" spans="1:5" x14ac:dyDescent="0.45">
      <c r="A124" s="136" t="s">
        <v>433</v>
      </c>
      <c r="B124" s="137"/>
      <c r="C124" s="138">
        <f>60000</f>
        <v>60000</v>
      </c>
      <c r="D124" s="138">
        <f t="shared" si="2"/>
        <v>-60000</v>
      </c>
      <c r="E124" s="140">
        <f t="shared" si="3"/>
        <v>0</v>
      </c>
    </row>
    <row r="125" spans="1:5" x14ac:dyDescent="0.45">
      <c r="A125" s="136" t="s">
        <v>434</v>
      </c>
      <c r="B125" s="137"/>
      <c r="C125" s="138">
        <f>0</f>
        <v>0</v>
      </c>
      <c r="D125" s="138">
        <f t="shared" si="2"/>
        <v>0</v>
      </c>
      <c r="E125" s="140" t="str">
        <f t="shared" si="3"/>
        <v/>
      </c>
    </row>
    <row r="126" spans="1:5" x14ac:dyDescent="0.45">
      <c r="A126" s="136" t="s">
        <v>455</v>
      </c>
      <c r="B126" s="138">
        <f>20998.32</f>
        <v>20998.32</v>
      </c>
      <c r="C126" s="138">
        <f>20998.31</f>
        <v>20998.31</v>
      </c>
      <c r="D126" s="138">
        <f t="shared" si="2"/>
        <v>9.9999999983992893E-3</v>
      </c>
      <c r="E126" s="140">
        <f t="shared" si="3"/>
        <v>1.0000004762288013</v>
      </c>
    </row>
    <row r="127" spans="1:5" x14ac:dyDescent="0.45">
      <c r="A127" s="136" t="s">
        <v>163</v>
      </c>
      <c r="B127" s="138">
        <f>19404.48</f>
        <v>19404.48</v>
      </c>
      <c r="C127" s="138">
        <f>19404.48</f>
        <v>19404.48</v>
      </c>
      <c r="D127" s="138">
        <f t="shared" ref="D127:D190" si="4">(B127)-(C127)</f>
        <v>0</v>
      </c>
      <c r="E127" s="140">
        <f t="shared" ref="E127:E190" si="5">IF(C127=0,"",(B127)/(C127))</f>
        <v>1</v>
      </c>
    </row>
    <row r="128" spans="1:5" x14ac:dyDescent="0.45">
      <c r="A128" s="136" t="s">
        <v>164</v>
      </c>
      <c r="B128" s="138">
        <f>19404.48</f>
        <v>19404.48</v>
      </c>
      <c r="C128" s="138">
        <f>19404.48</f>
        <v>19404.48</v>
      </c>
      <c r="D128" s="138">
        <f t="shared" si="4"/>
        <v>0</v>
      </c>
      <c r="E128" s="140">
        <f t="shared" si="5"/>
        <v>1</v>
      </c>
    </row>
    <row r="129" spans="1:5" x14ac:dyDescent="0.45">
      <c r="A129" s="136" t="s">
        <v>165</v>
      </c>
      <c r="B129" s="138">
        <f>20107.44</f>
        <v>20107.439999999999</v>
      </c>
      <c r="C129" s="138">
        <f>20107.44</f>
        <v>20107.439999999999</v>
      </c>
      <c r="D129" s="138">
        <f t="shared" si="4"/>
        <v>0</v>
      </c>
      <c r="E129" s="140">
        <f t="shared" si="5"/>
        <v>1</v>
      </c>
    </row>
    <row r="130" spans="1:5" x14ac:dyDescent="0.45">
      <c r="A130" s="136" t="s">
        <v>166</v>
      </c>
      <c r="B130" s="138">
        <f>17567.04</f>
        <v>17567.04</v>
      </c>
      <c r="C130" s="138">
        <f>17567.04</f>
        <v>17567.04</v>
      </c>
      <c r="D130" s="138">
        <f t="shared" si="4"/>
        <v>0</v>
      </c>
      <c r="E130" s="140">
        <f t="shared" si="5"/>
        <v>1</v>
      </c>
    </row>
    <row r="131" spans="1:5" x14ac:dyDescent="0.45">
      <c r="A131" s="136" t="s">
        <v>167</v>
      </c>
      <c r="B131" s="138">
        <f>17216.34</f>
        <v>17216.34</v>
      </c>
      <c r="C131" s="138">
        <f>16933.68</f>
        <v>16933.68</v>
      </c>
      <c r="D131" s="138">
        <f t="shared" si="4"/>
        <v>282.65999999999985</v>
      </c>
      <c r="E131" s="140">
        <f t="shared" si="5"/>
        <v>1.0166921779554119</v>
      </c>
    </row>
    <row r="132" spans="1:5" x14ac:dyDescent="0.45">
      <c r="A132" s="136" t="s">
        <v>470</v>
      </c>
      <c r="B132" s="138">
        <f>16731.84</f>
        <v>16731.84</v>
      </c>
      <c r="C132" s="138">
        <f>16731.84</f>
        <v>16731.84</v>
      </c>
      <c r="D132" s="138">
        <f t="shared" si="4"/>
        <v>0</v>
      </c>
      <c r="E132" s="140">
        <f t="shared" si="5"/>
        <v>1</v>
      </c>
    </row>
    <row r="133" spans="1:5" x14ac:dyDescent="0.45">
      <c r="A133" s="136" t="s">
        <v>168</v>
      </c>
      <c r="B133" s="138">
        <f>19376.64</f>
        <v>19376.64</v>
      </c>
      <c r="C133" s="138">
        <f>19376.64</f>
        <v>19376.64</v>
      </c>
      <c r="D133" s="138">
        <f t="shared" si="4"/>
        <v>0</v>
      </c>
      <c r="E133" s="140">
        <f t="shared" si="5"/>
        <v>1</v>
      </c>
    </row>
    <row r="134" spans="1:5" x14ac:dyDescent="0.45">
      <c r="A134" s="136" t="s">
        <v>169</v>
      </c>
      <c r="B134" s="138">
        <f>19021.68</f>
        <v>19021.68</v>
      </c>
      <c r="C134" s="138">
        <f>19021.68</f>
        <v>19021.68</v>
      </c>
      <c r="D134" s="138">
        <f t="shared" si="4"/>
        <v>0</v>
      </c>
      <c r="E134" s="140">
        <f t="shared" si="5"/>
        <v>1</v>
      </c>
    </row>
    <row r="135" spans="1:5" x14ac:dyDescent="0.45">
      <c r="A135" s="136" t="s">
        <v>170</v>
      </c>
      <c r="B135" s="138">
        <f>18151.68</f>
        <v>18151.68</v>
      </c>
      <c r="C135" s="138">
        <f>18151.68</f>
        <v>18151.68</v>
      </c>
      <c r="D135" s="138">
        <f t="shared" si="4"/>
        <v>0</v>
      </c>
      <c r="E135" s="140">
        <f t="shared" si="5"/>
        <v>1</v>
      </c>
    </row>
    <row r="136" spans="1:5" x14ac:dyDescent="0.45">
      <c r="A136" s="136" t="s">
        <v>447</v>
      </c>
      <c r="B136" s="138">
        <f>18638.88</f>
        <v>18638.88</v>
      </c>
      <c r="C136" s="138">
        <f>18638.88</f>
        <v>18638.88</v>
      </c>
      <c r="D136" s="138">
        <f t="shared" si="4"/>
        <v>0</v>
      </c>
      <c r="E136" s="140">
        <f t="shared" si="5"/>
        <v>1</v>
      </c>
    </row>
    <row r="137" spans="1:5" x14ac:dyDescent="0.45">
      <c r="A137" s="136" t="s">
        <v>456</v>
      </c>
      <c r="B137" s="138">
        <f>21840.48</f>
        <v>21840.48</v>
      </c>
      <c r="C137" s="138">
        <f>21840.48</f>
        <v>21840.48</v>
      </c>
      <c r="D137" s="138">
        <f t="shared" si="4"/>
        <v>0</v>
      </c>
      <c r="E137" s="140">
        <f t="shared" si="5"/>
        <v>1</v>
      </c>
    </row>
    <row r="138" spans="1:5" x14ac:dyDescent="0.45">
      <c r="A138" s="136" t="s">
        <v>459</v>
      </c>
      <c r="B138" s="138">
        <f>13574</f>
        <v>13574</v>
      </c>
      <c r="C138" s="138">
        <f>13319.68</f>
        <v>13319.68</v>
      </c>
      <c r="D138" s="138">
        <f t="shared" si="4"/>
        <v>254.31999999999971</v>
      </c>
      <c r="E138" s="140">
        <f t="shared" si="5"/>
        <v>1.0190935517970401</v>
      </c>
    </row>
    <row r="139" spans="1:5" x14ac:dyDescent="0.45">
      <c r="A139" s="136" t="s">
        <v>471</v>
      </c>
      <c r="B139" s="138">
        <f>12395.84</f>
        <v>12395.84</v>
      </c>
      <c r="C139" s="137"/>
      <c r="D139" s="138">
        <f t="shared" si="4"/>
        <v>12395.84</v>
      </c>
      <c r="E139" s="140" t="str">
        <f t="shared" si="5"/>
        <v/>
      </c>
    </row>
    <row r="140" spans="1:5" x14ac:dyDescent="0.45">
      <c r="A140" s="136" t="s">
        <v>485</v>
      </c>
      <c r="B140" s="138">
        <f>5077.6</f>
        <v>5077.6000000000004</v>
      </c>
      <c r="C140" s="137"/>
      <c r="D140" s="138">
        <f t="shared" si="4"/>
        <v>5077.6000000000004</v>
      </c>
      <c r="E140" s="140" t="str">
        <f t="shared" si="5"/>
        <v/>
      </c>
    </row>
    <row r="141" spans="1:5" x14ac:dyDescent="0.45">
      <c r="A141" s="136" t="s">
        <v>171</v>
      </c>
      <c r="B141" s="139">
        <f>((((((((((((((((((((((((((((((((((((((((((((((((((((((((((((((((((((((((((((B64)+(B65))+(B66))+(B67))+(B68))+(B69))+(B70))+(B71))+(B72))+(B73))+(B74))+(B75))+(B76))+(B77))+(B78))+(B79))+(B80))+(B81))+(B82))+(B83))+(B84))+(B85))+(B86))+(B87))+(B88))+(B89))+(B90))+(B91))+(B92))+(B93))+(B94))+(B95))+(B96))+(B97))+(B98))+(B99))+(B100))+(B101))+(B102))+(B103))+(B104))+(B105))+(B106))+(B107))+(B108))+(B109))+(B110))+(B111))+(B112))+(B113))+(B114))+(B115))+(B116))+(B117))+(B118))+(B119))+(B120))+(B121))+(B122))+(B123))+(B124))+(B125))+(B126))+(B127))+(B128))+(B129))+(B130))+(B131))+(B132))+(B133))+(B134))+(B135))+(B136))+(B137))+(B138))+(B139))+(B140)</f>
        <v>1804177.3399999994</v>
      </c>
      <c r="C141" s="139">
        <f>((((((((((((((((((((((((((((((((((((((((((((((((((((((((((((((((((((((((((((C64)+(C65))+(C66))+(C67))+(C68))+(C69))+(C70))+(C71))+(C72))+(C73))+(C74))+(C75))+(C76))+(C77))+(C78))+(C79))+(C80))+(C81))+(C82))+(C83))+(C84))+(C85))+(C86))+(C87))+(C88))+(C89))+(C90))+(C91))+(C92))+(C93))+(C94))+(C95))+(C96))+(C97))+(C98))+(C99))+(C100))+(C101))+(C102))+(C103))+(C104))+(C105))+(C106))+(C107))+(C108))+(C109))+(C110))+(C111))+(C112))+(C113))+(C114))+(C115))+(C116))+(C117))+(C118))+(C119))+(C120))+(C121))+(C122))+(C123))+(C124))+(C125))+(C126))+(C127))+(C128))+(C129))+(C130))+(C131))+(C132))+(C133))+(C134))+(C135))+(C136))+(C137))+(C138))+(C139))+(C140)</f>
        <v>1821061.5199999991</v>
      </c>
      <c r="D141" s="139">
        <f t="shared" si="4"/>
        <v>-16884.179999999702</v>
      </c>
      <c r="E141" s="141">
        <f t="shared" si="5"/>
        <v>0.99072838571648048</v>
      </c>
    </row>
    <row r="142" spans="1:5" x14ac:dyDescent="0.45">
      <c r="A142" s="136" t="s">
        <v>172</v>
      </c>
      <c r="B142" s="137"/>
      <c r="C142" s="137"/>
      <c r="D142" s="138">
        <f t="shared" si="4"/>
        <v>0</v>
      </c>
      <c r="E142" s="140" t="str">
        <f t="shared" si="5"/>
        <v/>
      </c>
    </row>
    <row r="143" spans="1:5" x14ac:dyDescent="0.45">
      <c r="A143" s="136" t="s">
        <v>173</v>
      </c>
      <c r="B143" s="138">
        <f>176950.26</f>
        <v>176950.26</v>
      </c>
      <c r="C143" s="138">
        <f>161298.61</f>
        <v>161298.60999999999</v>
      </c>
      <c r="D143" s="138">
        <f t="shared" si="4"/>
        <v>15651.650000000023</v>
      </c>
      <c r="E143" s="140">
        <f t="shared" si="5"/>
        <v>1.0970352441350859</v>
      </c>
    </row>
    <row r="144" spans="1:5" x14ac:dyDescent="0.45">
      <c r="A144" s="136" t="s">
        <v>174</v>
      </c>
      <c r="B144" s="139">
        <f>(B142)+(B143)</f>
        <v>176950.26</v>
      </c>
      <c r="C144" s="139">
        <f>(C142)+(C143)</f>
        <v>161298.60999999999</v>
      </c>
      <c r="D144" s="139">
        <f t="shared" si="4"/>
        <v>15651.650000000023</v>
      </c>
      <c r="E144" s="141">
        <f t="shared" si="5"/>
        <v>1.0970352441350859</v>
      </c>
    </row>
    <row r="145" spans="1:5" x14ac:dyDescent="0.45">
      <c r="A145" s="136" t="s">
        <v>175</v>
      </c>
      <c r="B145" s="137"/>
      <c r="C145" s="137"/>
      <c r="D145" s="138">
        <f t="shared" si="4"/>
        <v>0</v>
      </c>
      <c r="E145" s="140" t="str">
        <f t="shared" si="5"/>
        <v/>
      </c>
    </row>
    <row r="146" spans="1:5" x14ac:dyDescent="0.45">
      <c r="A146" s="136" t="s">
        <v>176</v>
      </c>
      <c r="B146" s="138">
        <f>110595.99</f>
        <v>110595.99</v>
      </c>
      <c r="C146" s="138">
        <f>116137.08</f>
        <v>116137.08</v>
      </c>
      <c r="D146" s="138">
        <f t="shared" si="4"/>
        <v>-5541.0899999999965</v>
      </c>
      <c r="E146" s="140">
        <f t="shared" si="5"/>
        <v>0.95228836474965617</v>
      </c>
    </row>
    <row r="147" spans="1:5" x14ac:dyDescent="0.45">
      <c r="A147" s="136" t="s">
        <v>178</v>
      </c>
      <c r="B147" s="138">
        <f>639.95</f>
        <v>639.95000000000005</v>
      </c>
      <c r="C147" s="138">
        <f>664</f>
        <v>664</v>
      </c>
      <c r="D147" s="138">
        <f t="shared" si="4"/>
        <v>-24.049999999999955</v>
      </c>
      <c r="E147" s="140">
        <f t="shared" si="5"/>
        <v>0.96378012048192774</v>
      </c>
    </row>
    <row r="148" spans="1:5" x14ac:dyDescent="0.45">
      <c r="A148" s="136" t="s">
        <v>179</v>
      </c>
      <c r="B148" s="138">
        <f>247.35</f>
        <v>247.35</v>
      </c>
      <c r="C148" s="138">
        <f>320</f>
        <v>320</v>
      </c>
      <c r="D148" s="138">
        <f t="shared" si="4"/>
        <v>-72.650000000000006</v>
      </c>
      <c r="E148" s="140">
        <f t="shared" si="5"/>
        <v>0.77296874999999998</v>
      </c>
    </row>
    <row r="149" spans="1:5" x14ac:dyDescent="0.45">
      <c r="A149" s="136" t="s">
        <v>180</v>
      </c>
      <c r="B149" s="138">
        <f>2698.75</f>
        <v>2698.75</v>
      </c>
      <c r="C149" s="138">
        <f>2559.91</f>
        <v>2559.91</v>
      </c>
      <c r="D149" s="138">
        <f t="shared" si="4"/>
        <v>138.84000000000015</v>
      </c>
      <c r="E149" s="140">
        <f t="shared" si="5"/>
        <v>1.0542362817442801</v>
      </c>
    </row>
    <row r="150" spans="1:5" x14ac:dyDescent="0.45">
      <c r="A150" s="136" t="s">
        <v>181</v>
      </c>
      <c r="B150" s="138">
        <f>2954.22</f>
        <v>2954.22</v>
      </c>
      <c r="C150" s="138">
        <f>2833.2</f>
        <v>2833.2</v>
      </c>
      <c r="D150" s="138">
        <f t="shared" si="4"/>
        <v>121.01999999999998</v>
      </c>
      <c r="E150" s="140">
        <f t="shared" si="5"/>
        <v>1.0427149512918255</v>
      </c>
    </row>
    <row r="151" spans="1:5" x14ac:dyDescent="0.45">
      <c r="A151" s="136" t="s">
        <v>184</v>
      </c>
      <c r="B151" s="138">
        <f>297</f>
        <v>297</v>
      </c>
      <c r="C151" s="138">
        <f>1893</f>
        <v>1893</v>
      </c>
      <c r="D151" s="138">
        <f t="shared" si="4"/>
        <v>-1596</v>
      </c>
      <c r="E151" s="140">
        <f t="shared" si="5"/>
        <v>0.15689381933438987</v>
      </c>
    </row>
    <row r="152" spans="1:5" x14ac:dyDescent="0.45">
      <c r="A152" s="136" t="s">
        <v>185</v>
      </c>
      <c r="B152" s="138">
        <f>46631.66</f>
        <v>46631.66</v>
      </c>
      <c r="C152" s="138">
        <f>47194.94</f>
        <v>47194.94</v>
      </c>
      <c r="D152" s="138">
        <f t="shared" si="4"/>
        <v>-563.27999999999884</v>
      </c>
      <c r="E152" s="140">
        <f t="shared" si="5"/>
        <v>0.98806482220339731</v>
      </c>
    </row>
    <row r="153" spans="1:5" x14ac:dyDescent="0.45">
      <c r="A153" s="136" t="s">
        <v>186</v>
      </c>
      <c r="B153" s="138">
        <f>25638.57</f>
        <v>25638.57</v>
      </c>
      <c r="C153" s="138">
        <f>25029.68</f>
        <v>25029.68</v>
      </c>
      <c r="D153" s="138">
        <f t="shared" si="4"/>
        <v>608.88999999999942</v>
      </c>
      <c r="E153" s="140">
        <f t="shared" si="5"/>
        <v>1.0243267193188246</v>
      </c>
    </row>
    <row r="154" spans="1:5" x14ac:dyDescent="0.45">
      <c r="A154" s="136" t="s">
        <v>187</v>
      </c>
      <c r="B154" s="139">
        <f>((((((((B145)+(B146))+(B147))+(B148))+(B149))+(B150))+(B151))+(B152))+(B153)</f>
        <v>189703.49000000002</v>
      </c>
      <c r="C154" s="139">
        <f>((((((((C145)+(C146))+(C147))+(C148))+(C149))+(C150))+(C151))+(C152))+(C153)</f>
        <v>196631.81</v>
      </c>
      <c r="D154" s="139">
        <f t="shared" si="4"/>
        <v>-6928.3199999999779</v>
      </c>
      <c r="E154" s="141">
        <f t="shared" si="5"/>
        <v>0.96476500928308606</v>
      </c>
    </row>
    <row r="155" spans="1:5" x14ac:dyDescent="0.45">
      <c r="A155" s="136" t="s">
        <v>188</v>
      </c>
      <c r="B155" s="137"/>
      <c r="C155" s="137"/>
      <c r="D155" s="138">
        <f t="shared" si="4"/>
        <v>0</v>
      </c>
      <c r="E155" s="140" t="str">
        <f t="shared" si="5"/>
        <v/>
      </c>
    </row>
    <row r="156" spans="1:5" x14ac:dyDescent="0.45">
      <c r="A156" s="136" t="s">
        <v>189</v>
      </c>
      <c r="B156" s="138">
        <f>23958.6</f>
        <v>23958.6</v>
      </c>
      <c r="C156" s="138">
        <f>20498.91</f>
        <v>20498.91</v>
      </c>
      <c r="D156" s="138">
        <f t="shared" si="4"/>
        <v>3459.6899999999987</v>
      </c>
      <c r="E156" s="140">
        <f t="shared" si="5"/>
        <v>1.1687743397087942</v>
      </c>
    </row>
    <row r="157" spans="1:5" x14ac:dyDescent="0.45">
      <c r="A157" s="136" t="s">
        <v>190</v>
      </c>
      <c r="B157" s="139">
        <f>(B155)+(B156)</f>
        <v>23958.6</v>
      </c>
      <c r="C157" s="139">
        <f>(C155)+(C156)</f>
        <v>20498.91</v>
      </c>
      <c r="D157" s="139">
        <f t="shared" si="4"/>
        <v>3459.6899999999987</v>
      </c>
      <c r="E157" s="141">
        <f t="shared" si="5"/>
        <v>1.1687743397087942</v>
      </c>
    </row>
    <row r="158" spans="1:5" x14ac:dyDescent="0.45">
      <c r="A158" s="136" t="s">
        <v>191</v>
      </c>
      <c r="B158" s="137"/>
      <c r="C158" s="137"/>
      <c r="D158" s="138">
        <f t="shared" si="4"/>
        <v>0</v>
      </c>
      <c r="E158" s="140" t="str">
        <f t="shared" si="5"/>
        <v/>
      </c>
    </row>
    <row r="159" spans="1:5" x14ac:dyDescent="0.45">
      <c r="A159" s="136" t="s">
        <v>192</v>
      </c>
      <c r="B159" s="138">
        <f>13018.75</f>
        <v>13018.75</v>
      </c>
      <c r="C159" s="138">
        <f>13904.99</f>
        <v>13904.99</v>
      </c>
      <c r="D159" s="138">
        <f t="shared" si="4"/>
        <v>-886.23999999999978</v>
      </c>
      <c r="E159" s="140">
        <f t="shared" si="5"/>
        <v>0.93626460716620441</v>
      </c>
    </row>
    <row r="160" spans="1:5" x14ac:dyDescent="0.45">
      <c r="A160" s="136" t="s">
        <v>435</v>
      </c>
      <c r="B160" s="138">
        <f>2250</f>
        <v>2250</v>
      </c>
      <c r="C160" s="138">
        <f>3750</f>
        <v>3750</v>
      </c>
      <c r="D160" s="138">
        <f t="shared" si="4"/>
        <v>-1500</v>
      </c>
      <c r="E160" s="140">
        <f t="shared" si="5"/>
        <v>0.6</v>
      </c>
    </row>
    <row r="161" spans="1:5" x14ac:dyDescent="0.45">
      <c r="A161" s="136" t="s">
        <v>445</v>
      </c>
      <c r="B161" s="138">
        <f>7269.48</f>
        <v>7269.48</v>
      </c>
      <c r="C161" s="138">
        <f>13200</f>
        <v>13200</v>
      </c>
      <c r="D161" s="138">
        <f t="shared" si="4"/>
        <v>-5930.52</v>
      </c>
      <c r="E161" s="140">
        <f t="shared" si="5"/>
        <v>0.55071818181818177</v>
      </c>
    </row>
    <row r="162" spans="1:5" x14ac:dyDescent="0.45">
      <c r="A162" s="136" t="s">
        <v>460</v>
      </c>
      <c r="B162" s="138">
        <f>9905</f>
        <v>9905</v>
      </c>
      <c r="C162" s="138">
        <f>3360</f>
        <v>3360</v>
      </c>
      <c r="D162" s="138">
        <f t="shared" si="4"/>
        <v>6545</v>
      </c>
      <c r="E162" s="140">
        <f t="shared" si="5"/>
        <v>2.9479166666666665</v>
      </c>
    </row>
    <row r="163" spans="1:5" x14ac:dyDescent="0.45">
      <c r="A163" s="136" t="s">
        <v>193</v>
      </c>
      <c r="B163" s="139">
        <f>((((B158)+(B159))+(B160))+(B161))+(B162)</f>
        <v>32443.23</v>
      </c>
      <c r="C163" s="139">
        <f>((((C158)+(C159))+(C160))+(C161))+(C162)</f>
        <v>34214.99</v>
      </c>
      <c r="D163" s="139">
        <f t="shared" si="4"/>
        <v>-1771.7599999999984</v>
      </c>
      <c r="E163" s="141">
        <f t="shared" si="5"/>
        <v>0.94821684881392632</v>
      </c>
    </row>
    <row r="164" spans="1:5" x14ac:dyDescent="0.45">
      <c r="A164" s="136" t="s">
        <v>194</v>
      </c>
      <c r="B164" s="139">
        <f>(((((B63)+(B141))+(B144))+(B154))+(B157))+(B163)</f>
        <v>2227232.9199999995</v>
      </c>
      <c r="C164" s="139">
        <f>(((((C63)+(C141))+(C144))+(C154))+(C157))+(C163)</f>
        <v>2233705.8399999994</v>
      </c>
      <c r="D164" s="139">
        <f t="shared" si="4"/>
        <v>-6472.9199999999255</v>
      </c>
      <c r="E164" s="141">
        <f t="shared" si="5"/>
        <v>0.99710216095419268</v>
      </c>
    </row>
    <row r="165" spans="1:5" x14ac:dyDescent="0.45">
      <c r="A165" s="136" t="s">
        <v>195</v>
      </c>
      <c r="B165" s="137"/>
      <c r="C165" s="137"/>
      <c r="D165" s="138">
        <f t="shared" si="4"/>
        <v>0</v>
      </c>
      <c r="E165" s="140" t="str">
        <f t="shared" si="5"/>
        <v/>
      </c>
    </row>
    <row r="166" spans="1:5" x14ac:dyDescent="0.45">
      <c r="A166" s="136" t="s">
        <v>196</v>
      </c>
      <c r="B166" s="137"/>
      <c r="C166" s="137"/>
      <c r="D166" s="138">
        <f t="shared" si="4"/>
        <v>0</v>
      </c>
      <c r="E166" s="140" t="str">
        <f t="shared" si="5"/>
        <v/>
      </c>
    </row>
    <row r="167" spans="1:5" x14ac:dyDescent="0.45">
      <c r="A167" s="136" t="s">
        <v>197</v>
      </c>
      <c r="B167" s="138">
        <f>6830.63</f>
        <v>6830.63</v>
      </c>
      <c r="C167" s="138">
        <f>2143.42</f>
        <v>2143.42</v>
      </c>
      <c r="D167" s="138">
        <f t="shared" si="4"/>
        <v>4687.21</v>
      </c>
      <c r="E167" s="140">
        <f t="shared" si="5"/>
        <v>3.1867902697558108</v>
      </c>
    </row>
    <row r="168" spans="1:5" x14ac:dyDescent="0.45">
      <c r="A168" s="136" t="s">
        <v>198</v>
      </c>
      <c r="B168" s="138">
        <f>3475.6</f>
        <v>3475.6</v>
      </c>
      <c r="C168" s="138">
        <f>5752.22</f>
        <v>5752.22</v>
      </c>
      <c r="D168" s="138">
        <f t="shared" si="4"/>
        <v>-2276.6200000000003</v>
      </c>
      <c r="E168" s="140">
        <f t="shared" si="5"/>
        <v>0.60421889287961861</v>
      </c>
    </row>
    <row r="169" spans="1:5" x14ac:dyDescent="0.45">
      <c r="A169" s="136" t="s">
        <v>199</v>
      </c>
      <c r="B169" s="138">
        <f>2307.72</f>
        <v>2307.7199999999998</v>
      </c>
      <c r="C169" s="138">
        <f>4337.2</f>
        <v>4337.2</v>
      </c>
      <c r="D169" s="138">
        <f t="shared" si="4"/>
        <v>-2029.48</v>
      </c>
      <c r="E169" s="140">
        <f t="shared" si="5"/>
        <v>0.53207599372867287</v>
      </c>
    </row>
    <row r="170" spans="1:5" x14ac:dyDescent="0.45">
      <c r="A170" s="136" t="s">
        <v>200</v>
      </c>
      <c r="B170" s="138">
        <f>5053.14</f>
        <v>5053.1400000000003</v>
      </c>
      <c r="C170" s="138">
        <f>8272.16</f>
        <v>8272.16</v>
      </c>
      <c r="D170" s="138">
        <f t="shared" si="4"/>
        <v>-3219.0199999999995</v>
      </c>
      <c r="E170" s="140">
        <f t="shared" si="5"/>
        <v>0.61086100849113179</v>
      </c>
    </row>
    <row r="171" spans="1:5" x14ac:dyDescent="0.45">
      <c r="A171" s="136" t="s">
        <v>201</v>
      </c>
      <c r="B171" s="137"/>
      <c r="C171" s="137"/>
      <c r="D171" s="138">
        <f t="shared" si="4"/>
        <v>0</v>
      </c>
      <c r="E171" s="140" t="str">
        <f t="shared" si="5"/>
        <v/>
      </c>
    </row>
    <row r="172" spans="1:5" x14ac:dyDescent="0.45">
      <c r="A172" s="136" t="s">
        <v>202</v>
      </c>
      <c r="B172" s="138">
        <f>6717.06</f>
        <v>6717.06</v>
      </c>
      <c r="C172" s="138">
        <f>10909.08</f>
        <v>10909.08</v>
      </c>
      <c r="D172" s="138">
        <f t="shared" si="4"/>
        <v>-4192.0199999999995</v>
      </c>
      <c r="E172" s="140">
        <f t="shared" si="5"/>
        <v>0.61573111573111572</v>
      </c>
    </row>
    <row r="173" spans="1:5" x14ac:dyDescent="0.45">
      <c r="A173" s="136" t="s">
        <v>203</v>
      </c>
      <c r="B173" s="138">
        <f>702.51</f>
        <v>702.51</v>
      </c>
      <c r="C173" s="138">
        <f>241.73</f>
        <v>241.73</v>
      </c>
      <c r="D173" s="138">
        <f t="shared" si="4"/>
        <v>460.78</v>
      </c>
      <c r="E173" s="140">
        <f t="shared" si="5"/>
        <v>2.9061763124146776</v>
      </c>
    </row>
    <row r="174" spans="1:5" x14ac:dyDescent="0.45">
      <c r="A174" s="136" t="s">
        <v>436</v>
      </c>
      <c r="B174" s="137"/>
      <c r="C174" s="138">
        <f>323.38</f>
        <v>323.38</v>
      </c>
      <c r="D174" s="138">
        <f t="shared" si="4"/>
        <v>-323.38</v>
      </c>
      <c r="E174" s="140">
        <f t="shared" si="5"/>
        <v>0</v>
      </c>
    </row>
    <row r="175" spans="1:5" x14ac:dyDescent="0.45">
      <c r="A175" s="136" t="s">
        <v>204</v>
      </c>
      <c r="B175" s="139">
        <f>(((B171)+(B172))+(B173))+(B174)</f>
        <v>7419.5700000000006</v>
      </c>
      <c r="C175" s="139">
        <f>(((C171)+(C172))+(C173))+(C174)</f>
        <v>11474.189999999999</v>
      </c>
      <c r="D175" s="139">
        <f t="shared" si="4"/>
        <v>-4054.6199999999981</v>
      </c>
      <c r="E175" s="141">
        <f t="shared" si="5"/>
        <v>0.64663126547494865</v>
      </c>
    </row>
    <row r="176" spans="1:5" x14ac:dyDescent="0.45">
      <c r="A176" s="136" t="s">
        <v>205</v>
      </c>
      <c r="B176" s="137"/>
      <c r="C176" s="137"/>
      <c r="D176" s="138">
        <f t="shared" si="4"/>
        <v>0</v>
      </c>
      <c r="E176" s="140" t="str">
        <f t="shared" si="5"/>
        <v/>
      </c>
    </row>
    <row r="177" spans="1:5" x14ac:dyDescent="0.45">
      <c r="A177" s="136" t="s">
        <v>206</v>
      </c>
      <c r="B177" s="138">
        <f>3872.86</f>
        <v>3872.86</v>
      </c>
      <c r="C177" s="138">
        <f>2258.19</f>
        <v>2258.19</v>
      </c>
      <c r="D177" s="138">
        <f t="shared" si="4"/>
        <v>1614.67</v>
      </c>
      <c r="E177" s="140">
        <f t="shared" si="5"/>
        <v>1.7150284077070574</v>
      </c>
    </row>
    <row r="178" spans="1:5" x14ac:dyDescent="0.45">
      <c r="A178" s="136" t="s">
        <v>207</v>
      </c>
      <c r="B178" s="138">
        <f>22023.34</f>
        <v>22023.34</v>
      </c>
      <c r="C178" s="138">
        <f>21660.03</f>
        <v>21660.03</v>
      </c>
      <c r="D178" s="138">
        <f t="shared" si="4"/>
        <v>363.31000000000131</v>
      </c>
      <c r="E178" s="140">
        <f t="shared" si="5"/>
        <v>1.0167732916344068</v>
      </c>
    </row>
    <row r="179" spans="1:5" x14ac:dyDescent="0.45">
      <c r="A179" s="136" t="s">
        <v>208</v>
      </c>
      <c r="B179" s="138">
        <f>6878.47</f>
        <v>6878.47</v>
      </c>
      <c r="C179" s="138">
        <f>5185.82</f>
        <v>5185.82</v>
      </c>
      <c r="D179" s="138">
        <f t="shared" si="4"/>
        <v>1692.6500000000005</v>
      </c>
      <c r="E179" s="140">
        <f t="shared" si="5"/>
        <v>1.3263996822103352</v>
      </c>
    </row>
    <row r="180" spans="1:5" x14ac:dyDescent="0.45">
      <c r="A180" s="136" t="s">
        <v>209</v>
      </c>
      <c r="B180" s="138">
        <f>33113.35</f>
        <v>33113.35</v>
      </c>
      <c r="C180" s="138">
        <f>22950</f>
        <v>22950</v>
      </c>
      <c r="D180" s="138">
        <f t="shared" si="4"/>
        <v>10163.349999999999</v>
      </c>
      <c r="E180" s="140">
        <f t="shared" si="5"/>
        <v>1.4428474945533769</v>
      </c>
    </row>
    <row r="181" spans="1:5" x14ac:dyDescent="0.45">
      <c r="A181" s="136" t="s">
        <v>210</v>
      </c>
      <c r="B181" s="139">
        <f>((((B176)+(B177))+(B178))+(B179))+(B180)</f>
        <v>65888.01999999999</v>
      </c>
      <c r="C181" s="139">
        <f>((((C176)+(C177))+(C178))+(C179))+(C180)</f>
        <v>52054.039999999994</v>
      </c>
      <c r="D181" s="139">
        <f t="shared" si="4"/>
        <v>13833.979999999996</v>
      </c>
      <c r="E181" s="141">
        <f t="shared" si="5"/>
        <v>1.2657618889907487</v>
      </c>
    </row>
    <row r="182" spans="1:5" x14ac:dyDescent="0.45">
      <c r="A182" s="136" t="s">
        <v>211</v>
      </c>
      <c r="B182" s="137"/>
      <c r="C182" s="137"/>
      <c r="D182" s="138">
        <f t="shared" si="4"/>
        <v>0</v>
      </c>
      <c r="E182" s="140" t="str">
        <f t="shared" si="5"/>
        <v/>
      </c>
    </row>
    <row r="183" spans="1:5" x14ac:dyDescent="0.45">
      <c r="A183" s="136" t="s">
        <v>212</v>
      </c>
      <c r="B183" s="138">
        <f>2923.45</f>
        <v>2923.45</v>
      </c>
      <c r="C183" s="138">
        <f>6196.13</f>
        <v>6196.13</v>
      </c>
      <c r="D183" s="138">
        <f t="shared" si="4"/>
        <v>-3272.6800000000003</v>
      </c>
      <c r="E183" s="140">
        <f t="shared" si="5"/>
        <v>0.47181869973677115</v>
      </c>
    </row>
    <row r="184" spans="1:5" x14ac:dyDescent="0.45">
      <c r="A184" s="136" t="s">
        <v>213</v>
      </c>
      <c r="B184" s="138">
        <f>6284.2</f>
        <v>6284.2</v>
      </c>
      <c r="C184" s="138">
        <f>2598.35</f>
        <v>2598.35</v>
      </c>
      <c r="D184" s="138">
        <f t="shared" si="4"/>
        <v>3685.85</v>
      </c>
      <c r="E184" s="140">
        <f t="shared" si="5"/>
        <v>2.4185348394173225</v>
      </c>
    </row>
    <row r="185" spans="1:5" x14ac:dyDescent="0.45">
      <c r="A185" s="136" t="s">
        <v>214</v>
      </c>
      <c r="B185" s="138">
        <f>281.17</f>
        <v>281.17</v>
      </c>
      <c r="C185" s="138">
        <f>678.99</f>
        <v>678.99</v>
      </c>
      <c r="D185" s="138">
        <f t="shared" si="4"/>
        <v>-397.82</v>
      </c>
      <c r="E185" s="140">
        <f t="shared" si="5"/>
        <v>0.41410035493895347</v>
      </c>
    </row>
    <row r="186" spans="1:5" x14ac:dyDescent="0.45">
      <c r="A186" s="136" t="s">
        <v>446</v>
      </c>
      <c r="B186" s="138">
        <f>1475.85</f>
        <v>1475.85</v>
      </c>
      <c r="C186" s="138">
        <f>1200</f>
        <v>1200</v>
      </c>
      <c r="D186" s="138">
        <f t="shared" si="4"/>
        <v>275.84999999999991</v>
      </c>
      <c r="E186" s="140">
        <f t="shared" si="5"/>
        <v>1.2298749999999998</v>
      </c>
    </row>
    <row r="187" spans="1:5" x14ac:dyDescent="0.45">
      <c r="A187" s="136" t="s">
        <v>215</v>
      </c>
      <c r="B187" s="138">
        <f>1463.13</f>
        <v>1463.13</v>
      </c>
      <c r="C187" s="138">
        <f>1500</f>
        <v>1500</v>
      </c>
      <c r="D187" s="138">
        <f t="shared" si="4"/>
        <v>-36.869999999999891</v>
      </c>
      <c r="E187" s="140">
        <f t="shared" si="5"/>
        <v>0.97542000000000006</v>
      </c>
    </row>
    <row r="188" spans="1:5" x14ac:dyDescent="0.45">
      <c r="A188" s="136" t="s">
        <v>300</v>
      </c>
      <c r="B188" s="137"/>
      <c r="C188" s="138">
        <f>0</f>
        <v>0</v>
      </c>
      <c r="D188" s="138">
        <f t="shared" si="4"/>
        <v>0</v>
      </c>
      <c r="E188" s="140" t="str">
        <f t="shared" si="5"/>
        <v/>
      </c>
    </row>
    <row r="189" spans="1:5" x14ac:dyDescent="0.45">
      <c r="A189" s="136" t="s">
        <v>216</v>
      </c>
      <c r="B189" s="138">
        <f>3917.89</f>
        <v>3917.89</v>
      </c>
      <c r="C189" s="138">
        <f>2342.85</f>
        <v>2342.85</v>
      </c>
      <c r="D189" s="138">
        <f t="shared" si="4"/>
        <v>1575.04</v>
      </c>
      <c r="E189" s="140">
        <f t="shared" si="5"/>
        <v>1.6722752203512816</v>
      </c>
    </row>
    <row r="190" spans="1:5" x14ac:dyDescent="0.45">
      <c r="A190" s="136" t="s">
        <v>217</v>
      </c>
      <c r="B190" s="139">
        <f>(((((((B182)+(B183))+(B184))+(B185))+(B186))+(B187))+(B188))+(B189)</f>
        <v>16345.689999999999</v>
      </c>
      <c r="C190" s="139">
        <f>(((((((C182)+(C183))+(C184))+(C185))+(C186))+(C187))+(C188))+(C189)</f>
        <v>14516.32</v>
      </c>
      <c r="D190" s="139">
        <f t="shared" si="4"/>
        <v>1829.369999999999</v>
      </c>
      <c r="E190" s="141">
        <f t="shared" si="5"/>
        <v>1.1260216087823911</v>
      </c>
    </row>
    <row r="191" spans="1:5" x14ac:dyDescent="0.45">
      <c r="A191" s="136" t="s">
        <v>218</v>
      </c>
      <c r="B191" s="137"/>
      <c r="C191" s="137"/>
      <c r="D191" s="138">
        <f t="shared" ref="D191:D254" si="6">(B191)-(C191)</f>
        <v>0</v>
      </c>
      <c r="E191" s="140" t="str">
        <f t="shared" ref="E191:E254" si="7">IF(C191=0,"",(B191)/(C191))</f>
        <v/>
      </c>
    </row>
    <row r="192" spans="1:5" x14ac:dyDescent="0.45">
      <c r="A192" s="136" t="s">
        <v>219</v>
      </c>
      <c r="B192" s="138">
        <f>328.66</f>
        <v>328.66</v>
      </c>
      <c r="C192" s="138">
        <f>3929.42</f>
        <v>3929.42</v>
      </c>
      <c r="D192" s="138">
        <f t="shared" si="6"/>
        <v>-3600.76</v>
      </c>
      <c r="E192" s="140">
        <f t="shared" si="7"/>
        <v>8.3640842668892615E-2</v>
      </c>
    </row>
    <row r="193" spans="1:5" x14ac:dyDescent="0.45">
      <c r="A193" s="136" t="s">
        <v>220</v>
      </c>
      <c r="B193" s="138">
        <f>9831.13</f>
        <v>9831.1299999999992</v>
      </c>
      <c r="C193" s="138">
        <f>11167.56</f>
        <v>11167.56</v>
      </c>
      <c r="D193" s="138">
        <f t="shared" si="6"/>
        <v>-1336.4300000000003</v>
      </c>
      <c r="E193" s="140">
        <f t="shared" si="7"/>
        <v>0.88032927515052528</v>
      </c>
    </row>
    <row r="194" spans="1:5" x14ac:dyDescent="0.45">
      <c r="A194" s="136" t="s">
        <v>221</v>
      </c>
      <c r="B194" s="138">
        <f>957.75</f>
        <v>957.75</v>
      </c>
      <c r="C194" s="138">
        <f>1955.5</f>
        <v>1955.5</v>
      </c>
      <c r="D194" s="138">
        <f t="shared" si="6"/>
        <v>-997.75</v>
      </c>
      <c r="E194" s="140">
        <f t="shared" si="7"/>
        <v>0.4897724367169522</v>
      </c>
    </row>
    <row r="195" spans="1:5" x14ac:dyDescent="0.45">
      <c r="A195" s="136" t="s">
        <v>222</v>
      </c>
      <c r="B195" s="138">
        <f>3427.94</f>
        <v>3427.94</v>
      </c>
      <c r="C195" s="138">
        <f>1957.08</f>
        <v>1957.08</v>
      </c>
      <c r="D195" s="138">
        <f t="shared" si="6"/>
        <v>1470.8600000000001</v>
      </c>
      <c r="E195" s="140">
        <f t="shared" si="7"/>
        <v>1.7515584442128069</v>
      </c>
    </row>
    <row r="196" spans="1:5" x14ac:dyDescent="0.45">
      <c r="A196" s="136" t="s">
        <v>223</v>
      </c>
      <c r="B196" s="138">
        <f>1715</f>
        <v>1715</v>
      </c>
      <c r="C196" s="138">
        <f>6785</f>
        <v>6785</v>
      </c>
      <c r="D196" s="138">
        <f t="shared" si="6"/>
        <v>-5070</v>
      </c>
      <c r="E196" s="140">
        <f t="shared" si="7"/>
        <v>0.25276344878408252</v>
      </c>
    </row>
    <row r="197" spans="1:5" x14ac:dyDescent="0.45">
      <c r="A197" s="136" t="s">
        <v>472</v>
      </c>
      <c r="B197" s="138">
        <f>19877.77</f>
        <v>19877.77</v>
      </c>
      <c r="C197" s="138">
        <f>17693.8</f>
        <v>17693.8</v>
      </c>
      <c r="D197" s="138">
        <f t="shared" si="6"/>
        <v>2183.9700000000012</v>
      </c>
      <c r="E197" s="140">
        <f t="shared" si="7"/>
        <v>1.1234313714408437</v>
      </c>
    </row>
    <row r="198" spans="1:5" x14ac:dyDescent="0.45">
      <c r="A198" s="136" t="s">
        <v>473</v>
      </c>
      <c r="B198" s="138">
        <f>5308.98</f>
        <v>5308.98</v>
      </c>
      <c r="C198" s="138">
        <f>9400</f>
        <v>9400</v>
      </c>
      <c r="D198" s="138">
        <f t="shared" si="6"/>
        <v>-4091.0200000000004</v>
      </c>
      <c r="E198" s="140">
        <f t="shared" si="7"/>
        <v>0.56478510638297863</v>
      </c>
    </row>
    <row r="199" spans="1:5" x14ac:dyDescent="0.45">
      <c r="A199" s="136" t="s">
        <v>474</v>
      </c>
      <c r="B199" s="138">
        <f>26946.03</f>
        <v>26946.03</v>
      </c>
      <c r="C199" s="138">
        <f>4002.99</f>
        <v>4002.99</v>
      </c>
      <c r="D199" s="138">
        <f t="shared" si="6"/>
        <v>22943.040000000001</v>
      </c>
      <c r="E199" s="140">
        <f t="shared" si="7"/>
        <v>6.7314757218978816</v>
      </c>
    </row>
    <row r="200" spans="1:5" x14ac:dyDescent="0.45">
      <c r="A200" s="136" t="s">
        <v>475</v>
      </c>
      <c r="B200" s="138">
        <f>2697.46</f>
        <v>2697.46</v>
      </c>
      <c r="C200" s="138">
        <f>4177.64</f>
        <v>4177.6400000000003</v>
      </c>
      <c r="D200" s="138">
        <f t="shared" si="6"/>
        <v>-1480.1800000000003</v>
      </c>
      <c r="E200" s="140">
        <f t="shared" si="7"/>
        <v>0.64568991105025797</v>
      </c>
    </row>
    <row r="201" spans="1:5" x14ac:dyDescent="0.45">
      <c r="A201" s="136" t="s">
        <v>476</v>
      </c>
      <c r="B201" s="138">
        <f>4658.56</f>
        <v>4658.5600000000004</v>
      </c>
      <c r="C201" s="138">
        <f>2338.98</f>
        <v>2338.98</v>
      </c>
      <c r="D201" s="138">
        <f t="shared" si="6"/>
        <v>2319.5800000000004</v>
      </c>
      <c r="E201" s="140">
        <f t="shared" si="7"/>
        <v>1.9917057862829097</v>
      </c>
    </row>
    <row r="202" spans="1:5" x14ac:dyDescent="0.45">
      <c r="A202" s="136" t="s">
        <v>224</v>
      </c>
      <c r="B202" s="139">
        <f>((((((((((B191)+(B192))+(B193))+(B194))+(B195))+(B196))+(B197))+(B198))+(B199))+(B200))+(B201)</f>
        <v>75749.279999999999</v>
      </c>
      <c r="C202" s="139">
        <f>((((((((((C191)+(C192))+(C193))+(C194))+(C195))+(C196))+(C197))+(C198))+(C199))+(C200))+(C201)</f>
        <v>63407.97</v>
      </c>
      <c r="D202" s="139">
        <f t="shared" si="6"/>
        <v>12341.309999999998</v>
      </c>
      <c r="E202" s="141">
        <f t="shared" si="7"/>
        <v>1.1946334191111938</v>
      </c>
    </row>
    <row r="203" spans="1:5" x14ac:dyDescent="0.45">
      <c r="A203" s="136" t="s">
        <v>225</v>
      </c>
      <c r="B203" s="137"/>
      <c r="C203" s="138">
        <f>1200</f>
        <v>1200</v>
      </c>
      <c r="D203" s="138">
        <f t="shared" si="6"/>
        <v>-1200</v>
      </c>
      <c r="E203" s="140">
        <f t="shared" si="7"/>
        <v>0</v>
      </c>
    </row>
    <row r="204" spans="1:5" x14ac:dyDescent="0.45">
      <c r="A204" s="136" t="s">
        <v>226</v>
      </c>
      <c r="B204" s="138">
        <f>980525.54</f>
        <v>980525.54</v>
      </c>
      <c r="C204" s="138">
        <f>972638.06</f>
        <v>972638.06</v>
      </c>
      <c r="D204" s="138">
        <f t="shared" si="6"/>
        <v>7887.4799999999814</v>
      </c>
      <c r="E204" s="140">
        <f t="shared" si="7"/>
        <v>1.0081093680417976</v>
      </c>
    </row>
    <row r="205" spans="1:5" x14ac:dyDescent="0.45">
      <c r="A205" s="136" t="s">
        <v>227</v>
      </c>
      <c r="B205" s="138">
        <f>6294.54</f>
        <v>6294.54</v>
      </c>
      <c r="C205" s="138">
        <f>6203.42</f>
        <v>6203.42</v>
      </c>
      <c r="D205" s="138">
        <f t="shared" si="6"/>
        <v>91.119999999999891</v>
      </c>
      <c r="E205" s="140">
        <f t="shared" si="7"/>
        <v>1.0146886717326893</v>
      </c>
    </row>
    <row r="206" spans="1:5" x14ac:dyDescent="0.45">
      <c r="A206" s="136" t="s">
        <v>228</v>
      </c>
      <c r="B206" s="138">
        <f>18000</f>
        <v>18000</v>
      </c>
      <c r="C206" s="138">
        <f>18000</f>
        <v>18000</v>
      </c>
      <c r="D206" s="138">
        <f t="shared" si="6"/>
        <v>0</v>
      </c>
      <c r="E206" s="140">
        <f t="shared" si="7"/>
        <v>1</v>
      </c>
    </row>
    <row r="207" spans="1:5" x14ac:dyDescent="0.45">
      <c r="A207" s="136" t="s">
        <v>229</v>
      </c>
      <c r="B207" s="139">
        <f>((((((((((((B166)+(B167))+(B168))+(B169))+(B170))+(B175))+(B181))+(B190))+(B202))+(B203))+(B204))+(B205))+(B206)</f>
        <v>1187889.73</v>
      </c>
      <c r="C207" s="139">
        <f>((((((((((((C166)+(C167))+(C168))+(C169))+(C170))+(C175))+(C181))+(C190))+(C202))+(C203))+(C204))+(C205))+(C206)</f>
        <v>1159999</v>
      </c>
      <c r="D207" s="139">
        <f t="shared" si="6"/>
        <v>27890.729999999981</v>
      </c>
      <c r="E207" s="141">
        <f t="shared" si="7"/>
        <v>1.0240437534859943</v>
      </c>
    </row>
    <row r="208" spans="1:5" x14ac:dyDescent="0.45">
      <c r="A208" s="136" t="s">
        <v>230</v>
      </c>
      <c r="B208" s="137"/>
      <c r="C208" s="137"/>
      <c r="D208" s="138">
        <f t="shared" si="6"/>
        <v>0</v>
      </c>
      <c r="E208" s="140" t="str">
        <f t="shared" si="7"/>
        <v/>
      </c>
    </row>
    <row r="209" spans="1:5" x14ac:dyDescent="0.45">
      <c r="A209" s="136" t="s">
        <v>231</v>
      </c>
      <c r="B209" s="138">
        <f>79427.2</f>
        <v>79427.199999999997</v>
      </c>
      <c r="C209" s="138">
        <f>79427.8</f>
        <v>79427.8</v>
      </c>
      <c r="D209" s="138">
        <f t="shared" si="6"/>
        <v>-0.60000000000582077</v>
      </c>
      <c r="E209" s="140">
        <f t="shared" si="7"/>
        <v>0.99999244596979886</v>
      </c>
    </row>
    <row r="210" spans="1:5" x14ac:dyDescent="0.45">
      <c r="A210" s="136" t="s">
        <v>232</v>
      </c>
      <c r="B210" s="138">
        <f>2065.3</f>
        <v>2065.3000000000002</v>
      </c>
      <c r="C210" s="138">
        <f>2200</f>
        <v>2200</v>
      </c>
      <c r="D210" s="138">
        <f t="shared" si="6"/>
        <v>-134.69999999999982</v>
      </c>
      <c r="E210" s="140">
        <f t="shared" si="7"/>
        <v>0.93877272727272731</v>
      </c>
    </row>
    <row r="211" spans="1:5" x14ac:dyDescent="0.45">
      <c r="A211" s="136" t="s">
        <v>233</v>
      </c>
      <c r="B211" s="138">
        <f>5595.61</f>
        <v>5595.61</v>
      </c>
      <c r="C211" s="138">
        <f>5595.61</f>
        <v>5595.61</v>
      </c>
      <c r="D211" s="138">
        <f t="shared" si="6"/>
        <v>0</v>
      </c>
      <c r="E211" s="140">
        <f t="shared" si="7"/>
        <v>1</v>
      </c>
    </row>
    <row r="212" spans="1:5" x14ac:dyDescent="0.45">
      <c r="A212" s="136" t="s">
        <v>234</v>
      </c>
      <c r="B212" s="139">
        <f>(((B208)+(B209))+(B210))+(B211)</f>
        <v>87088.11</v>
      </c>
      <c r="C212" s="139">
        <f>(((C208)+(C209))+(C210))+(C211)</f>
        <v>87223.41</v>
      </c>
      <c r="D212" s="139">
        <f t="shared" si="6"/>
        <v>-135.30000000000291</v>
      </c>
      <c r="E212" s="141">
        <f t="shared" si="7"/>
        <v>0.99844881093275295</v>
      </c>
    </row>
    <row r="213" spans="1:5" x14ac:dyDescent="0.45">
      <c r="A213" s="136" t="s">
        <v>235</v>
      </c>
      <c r="B213" s="137"/>
      <c r="C213" s="137"/>
      <c r="D213" s="138">
        <f t="shared" si="6"/>
        <v>0</v>
      </c>
      <c r="E213" s="140" t="str">
        <f t="shared" si="7"/>
        <v/>
      </c>
    </row>
    <row r="214" spans="1:5" x14ac:dyDescent="0.45">
      <c r="A214" s="136" t="s">
        <v>236</v>
      </c>
      <c r="B214" s="138">
        <f>13666.66</f>
        <v>13666.66</v>
      </c>
      <c r="C214" s="138">
        <f>15839.03</f>
        <v>15839.03</v>
      </c>
      <c r="D214" s="138">
        <f t="shared" si="6"/>
        <v>-2172.3700000000008</v>
      </c>
      <c r="E214" s="140">
        <f t="shared" si="7"/>
        <v>0.862847030405271</v>
      </c>
    </row>
    <row r="215" spans="1:5" x14ac:dyDescent="0.45">
      <c r="A215" s="136" t="s">
        <v>237</v>
      </c>
      <c r="B215" s="138">
        <f>2160</f>
        <v>2160</v>
      </c>
      <c r="C215" s="138">
        <f>2160</f>
        <v>2160</v>
      </c>
      <c r="D215" s="138">
        <f t="shared" si="6"/>
        <v>0</v>
      </c>
      <c r="E215" s="140">
        <f t="shared" si="7"/>
        <v>1</v>
      </c>
    </row>
    <row r="216" spans="1:5" x14ac:dyDescent="0.45">
      <c r="A216" s="136" t="s">
        <v>238</v>
      </c>
      <c r="B216" s="138">
        <f>345.82</f>
        <v>345.82</v>
      </c>
      <c r="C216" s="138">
        <f>333.9</f>
        <v>333.9</v>
      </c>
      <c r="D216" s="138">
        <f t="shared" si="6"/>
        <v>11.920000000000016</v>
      </c>
      <c r="E216" s="140">
        <f t="shared" si="7"/>
        <v>1.0356993111710093</v>
      </c>
    </row>
    <row r="217" spans="1:5" x14ac:dyDescent="0.45">
      <c r="A217" s="136" t="s">
        <v>239</v>
      </c>
      <c r="B217" s="138">
        <f>10538.91</f>
        <v>10538.91</v>
      </c>
      <c r="C217" s="138">
        <f>6425.98</f>
        <v>6425.98</v>
      </c>
      <c r="D217" s="138">
        <f t="shared" si="6"/>
        <v>4112.93</v>
      </c>
      <c r="E217" s="140">
        <f t="shared" si="7"/>
        <v>1.6400471212173087</v>
      </c>
    </row>
    <row r="218" spans="1:5" x14ac:dyDescent="0.45">
      <c r="A218" s="136" t="s">
        <v>240</v>
      </c>
      <c r="B218" s="138">
        <f>754.25</f>
        <v>754.25</v>
      </c>
      <c r="C218" s="138">
        <f>600</f>
        <v>600</v>
      </c>
      <c r="D218" s="138">
        <f t="shared" si="6"/>
        <v>154.25</v>
      </c>
      <c r="E218" s="140">
        <f t="shared" si="7"/>
        <v>1.2570833333333333</v>
      </c>
    </row>
    <row r="219" spans="1:5" x14ac:dyDescent="0.45">
      <c r="A219" s="136" t="s">
        <v>241</v>
      </c>
      <c r="B219" s="138">
        <f>6464.79</f>
        <v>6464.79</v>
      </c>
      <c r="C219" s="138">
        <f>8248.87</f>
        <v>8248.8700000000008</v>
      </c>
      <c r="D219" s="138">
        <f t="shared" si="6"/>
        <v>-1784.0800000000008</v>
      </c>
      <c r="E219" s="140">
        <f t="shared" si="7"/>
        <v>0.78371825474277079</v>
      </c>
    </row>
    <row r="220" spans="1:5" x14ac:dyDescent="0.45">
      <c r="A220" s="136" t="s">
        <v>242</v>
      </c>
      <c r="B220" s="139">
        <f>((((((B213)+(B214))+(B215))+(B216))+(B217))+(B218))+(B219)</f>
        <v>33930.43</v>
      </c>
      <c r="C220" s="139">
        <f>((((((C213)+(C214))+(C215))+(C216))+(C217))+(C218))+(C219)</f>
        <v>33607.78</v>
      </c>
      <c r="D220" s="139">
        <f t="shared" si="6"/>
        <v>322.65000000000146</v>
      </c>
      <c r="E220" s="141">
        <f t="shared" si="7"/>
        <v>1.0096004556087905</v>
      </c>
    </row>
    <row r="221" spans="1:5" x14ac:dyDescent="0.45">
      <c r="A221" s="136" t="s">
        <v>243</v>
      </c>
      <c r="B221" s="137"/>
      <c r="C221" s="137"/>
      <c r="D221" s="138">
        <f t="shared" si="6"/>
        <v>0</v>
      </c>
      <c r="E221" s="140" t="str">
        <f t="shared" si="7"/>
        <v/>
      </c>
    </row>
    <row r="222" spans="1:5" x14ac:dyDescent="0.45">
      <c r="A222" s="136" t="s">
        <v>244</v>
      </c>
      <c r="B222" s="138">
        <f>3192.51</f>
        <v>3192.51</v>
      </c>
      <c r="C222" s="138">
        <f>3175.26</f>
        <v>3175.26</v>
      </c>
      <c r="D222" s="138">
        <f t="shared" si="6"/>
        <v>17.25</v>
      </c>
      <c r="E222" s="140">
        <f t="shared" si="7"/>
        <v>1.0054326259896826</v>
      </c>
    </row>
    <row r="223" spans="1:5" x14ac:dyDescent="0.45">
      <c r="A223" s="136" t="s">
        <v>245</v>
      </c>
      <c r="B223" s="138">
        <f>4915.88</f>
        <v>4915.88</v>
      </c>
      <c r="C223" s="138">
        <f>3476.53</f>
        <v>3476.53</v>
      </c>
      <c r="D223" s="138">
        <f t="shared" si="6"/>
        <v>1439.35</v>
      </c>
      <c r="E223" s="140">
        <f t="shared" si="7"/>
        <v>1.4140191512801557</v>
      </c>
    </row>
    <row r="224" spans="1:5" x14ac:dyDescent="0.45">
      <c r="A224" s="136" t="s">
        <v>246</v>
      </c>
      <c r="B224" s="138">
        <f>2298.92</f>
        <v>2298.92</v>
      </c>
      <c r="C224" s="138">
        <f>1755.98</f>
        <v>1755.98</v>
      </c>
      <c r="D224" s="138">
        <f t="shared" si="6"/>
        <v>542.94000000000005</v>
      </c>
      <c r="E224" s="140">
        <f t="shared" si="7"/>
        <v>1.3091948655451657</v>
      </c>
    </row>
    <row r="225" spans="1:5" x14ac:dyDescent="0.45">
      <c r="A225" s="136" t="s">
        <v>247</v>
      </c>
      <c r="B225" s="137"/>
      <c r="C225" s="138">
        <f>2000</f>
        <v>2000</v>
      </c>
      <c r="D225" s="138">
        <f t="shared" si="6"/>
        <v>-2000</v>
      </c>
      <c r="E225" s="140">
        <f t="shared" si="7"/>
        <v>0</v>
      </c>
    </row>
    <row r="226" spans="1:5" x14ac:dyDescent="0.45">
      <c r="A226" s="136" t="s">
        <v>248</v>
      </c>
      <c r="B226" s="139">
        <f>((((B221)+(B222))+(B223))+(B224))+(B225)</f>
        <v>10407.310000000001</v>
      </c>
      <c r="C226" s="139">
        <f>((((C221)+(C222))+(C223))+(C224))+(C225)</f>
        <v>10407.77</v>
      </c>
      <c r="D226" s="139">
        <f t="shared" si="6"/>
        <v>-0.45999999999912689</v>
      </c>
      <c r="E226" s="141">
        <f t="shared" si="7"/>
        <v>0.99995580225158709</v>
      </c>
    </row>
    <row r="227" spans="1:5" x14ac:dyDescent="0.45">
      <c r="A227" s="136" t="s">
        <v>249</v>
      </c>
      <c r="B227" s="137"/>
      <c r="C227" s="137"/>
      <c r="D227" s="138">
        <f t="shared" si="6"/>
        <v>0</v>
      </c>
      <c r="E227" s="140" t="str">
        <f t="shared" si="7"/>
        <v/>
      </c>
    </row>
    <row r="228" spans="1:5" x14ac:dyDescent="0.45">
      <c r="A228" s="136" t="s">
        <v>250</v>
      </c>
      <c r="B228" s="138">
        <f>617917.63</f>
        <v>617917.63</v>
      </c>
      <c r="C228" s="138">
        <f>350991.05</f>
        <v>350991.05</v>
      </c>
      <c r="D228" s="138">
        <f t="shared" si="6"/>
        <v>266926.58</v>
      </c>
      <c r="E228" s="140">
        <f t="shared" si="7"/>
        <v>1.7604939784077116</v>
      </c>
    </row>
    <row r="229" spans="1:5" x14ac:dyDescent="0.45">
      <c r="A229" s="136" t="s">
        <v>251</v>
      </c>
      <c r="B229" s="138">
        <f>7984.08</f>
        <v>7984.08</v>
      </c>
      <c r="C229" s="138">
        <f>13665.15</f>
        <v>13665.15</v>
      </c>
      <c r="D229" s="138">
        <f t="shared" si="6"/>
        <v>-5681.07</v>
      </c>
      <c r="E229" s="140">
        <f t="shared" si="7"/>
        <v>0.58426581486482032</v>
      </c>
    </row>
    <row r="230" spans="1:5" x14ac:dyDescent="0.45">
      <c r="A230" s="136" t="s">
        <v>252</v>
      </c>
      <c r="B230" s="138">
        <f>39190.73</f>
        <v>39190.730000000003</v>
      </c>
      <c r="C230" s="138">
        <f>2505.42</f>
        <v>2505.42</v>
      </c>
      <c r="D230" s="138">
        <f t="shared" si="6"/>
        <v>36685.310000000005</v>
      </c>
      <c r="E230" s="140">
        <f t="shared" si="7"/>
        <v>15.642379321630706</v>
      </c>
    </row>
    <row r="231" spans="1:5" x14ac:dyDescent="0.45">
      <c r="A231" s="136" t="s">
        <v>253</v>
      </c>
      <c r="B231" s="139">
        <f>(((B227)+(B228))+(B229))+(B230)</f>
        <v>665092.43999999994</v>
      </c>
      <c r="C231" s="139">
        <f>(((C227)+(C228))+(C229))+(C230)</f>
        <v>367161.62</v>
      </c>
      <c r="D231" s="139">
        <f t="shared" si="6"/>
        <v>297930.81999999995</v>
      </c>
      <c r="E231" s="141">
        <f t="shared" si="7"/>
        <v>1.8114432548805073</v>
      </c>
    </row>
    <row r="232" spans="1:5" x14ac:dyDescent="0.45">
      <c r="A232" s="136" t="s">
        <v>254</v>
      </c>
      <c r="B232" s="138">
        <f>13805.22</f>
        <v>13805.22</v>
      </c>
      <c r="C232" s="138">
        <f>12238.19</f>
        <v>12238.19</v>
      </c>
      <c r="D232" s="138">
        <f t="shared" si="6"/>
        <v>1567.0299999999988</v>
      </c>
      <c r="E232" s="140">
        <f t="shared" si="7"/>
        <v>1.1280442614471584</v>
      </c>
    </row>
    <row r="233" spans="1:5" x14ac:dyDescent="0.45">
      <c r="A233" s="136" t="s">
        <v>255</v>
      </c>
      <c r="B233" s="137"/>
      <c r="C233" s="137"/>
      <c r="D233" s="138">
        <f t="shared" si="6"/>
        <v>0</v>
      </c>
      <c r="E233" s="140" t="str">
        <f t="shared" si="7"/>
        <v/>
      </c>
    </row>
    <row r="234" spans="1:5" x14ac:dyDescent="0.45">
      <c r="A234" s="136" t="s">
        <v>256</v>
      </c>
      <c r="B234" s="138">
        <f>12306.81</f>
        <v>12306.81</v>
      </c>
      <c r="C234" s="138">
        <f>10601.65</f>
        <v>10601.65</v>
      </c>
      <c r="D234" s="138">
        <f t="shared" si="6"/>
        <v>1705.1599999999999</v>
      </c>
      <c r="E234" s="140">
        <f t="shared" si="7"/>
        <v>1.1608391146661132</v>
      </c>
    </row>
    <row r="235" spans="1:5" x14ac:dyDescent="0.45">
      <c r="A235" s="136" t="s">
        <v>301</v>
      </c>
      <c r="B235" s="138">
        <f>43.54</f>
        <v>43.54</v>
      </c>
      <c r="C235" s="138">
        <f>0</f>
        <v>0</v>
      </c>
      <c r="D235" s="138">
        <f t="shared" si="6"/>
        <v>43.54</v>
      </c>
      <c r="E235" s="140" t="str">
        <f t="shared" si="7"/>
        <v/>
      </c>
    </row>
    <row r="236" spans="1:5" x14ac:dyDescent="0.45">
      <c r="A236" s="136" t="s">
        <v>257</v>
      </c>
      <c r="B236" s="139">
        <f>((B233)+(B234))+(B235)</f>
        <v>12350.35</v>
      </c>
      <c r="C236" s="139">
        <f>((C233)+(C234))+(C235)</f>
        <v>10601.65</v>
      </c>
      <c r="D236" s="139">
        <f t="shared" si="6"/>
        <v>1748.7000000000007</v>
      </c>
      <c r="E236" s="141">
        <f t="shared" si="7"/>
        <v>1.1649460225530932</v>
      </c>
    </row>
    <row r="237" spans="1:5" x14ac:dyDescent="0.45">
      <c r="A237" s="136" t="s">
        <v>258</v>
      </c>
      <c r="B237" s="137"/>
      <c r="C237" s="137"/>
      <c r="D237" s="138">
        <f t="shared" si="6"/>
        <v>0</v>
      </c>
      <c r="E237" s="140" t="str">
        <f t="shared" si="7"/>
        <v/>
      </c>
    </row>
    <row r="238" spans="1:5" x14ac:dyDescent="0.45">
      <c r="A238" s="136" t="s">
        <v>437</v>
      </c>
      <c r="B238" s="137"/>
      <c r="C238" s="138">
        <f>0</f>
        <v>0</v>
      </c>
      <c r="D238" s="138">
        <f t="shared" si="6"/>
        <v>0</v>
      </c>
      <c r="E238" s="140" t="str">
        <f t="shared" si="7"/>
        <v/>
      </c>
    </row>
    <row r="239" spans="1:5" x14ac:dyDescent="0.45">
      <c r="A239" s="136" t="s">
        <v>259</v>
      </c>
      <c r="B239" s="138">
        <f>757.84</f>
        <v>757.84</v>
      </c>
      <c r="C239" s="138">
        <f>806.93</f>
        <v>806.93</v>
      </c>
      <c r="D239" s="138">
        <f t="shared" si="6"/>
        <v>-49.089999999999918</v>
      </c>
      <c r="E239" s="140">
        <f t="shared" si="7"/>
        <v>0.9391644876259404</v>
      </c>
    </row>
    <row r="240" spans="1:5" x14ac:dyDescent="0.45">
      <c r="A240" s="136" t="s">
        <v>260</v>
      </c>
      <c r="B240" s="138">
        <f>2300.62</f>
        <v>2300.62</v>
      </c>
      <c r="C240" s="138">
        <f>2791.13</f>
        <v>2791.13</v>
      </c>
      <c r="D240" s="138">
        <f t="shared" si="6"/>
        <v>-490.51000000000022</v>
      </c>
      <c r="E240" s="140">
        <f t="shared" si="7"/>
        <v>0.82426114154482233</v>
      </c>
    </row>
    <row r="241" spans="1:5" x14ac:dyDescent="0.45">
      <c r="A241" s="136" t="s">
        <v>261</v>
      </c>
      <c r="B241" s="139">
        <f>(((B237)+(B238))+(B239))+(B240)</f>
        <v>3058.46</v>
      </c>
      <c r="C241" s="139">
        <f>(((C237)+(C238))+(C239))+(C240)</f>
        <v>3598.06</v>
      </c>
      <c r="D241" s="139">
        <f t="shared" si="6"/>
        <v>-539.59999999999991</v>
      </c>
      <c r="E241" s="141">
        <f t="shared" si="7"/>
        <v>0.85003029410293329</v>
      </c>
    </row>
    <row r="242" spans="1:5" x14ac:dyDescent="0.45">
      <c r="A242" s="136" t="s">
        <v>262</v>
      </c>
      <c r="B242" s="137"/>
      <c r="C242" s="137"/>
      <c r="D242" s="138">
        <f t="shared" si="6"/>
        <v>0</v>
      </c>
      <c r="E242" s="140" t="str">
        <f t="shared" si="7"/>
        <v/>
      </c>
    </row>
    <row r="243" spans="1:5" x14ac:dyDescent="0.45">
      <c r="A243" s="136" t="s">
        <v>438</v>
      </c>
      <c r="B243" s="138">
        <f>50.32</f>
        <v>50.32</v>
      </c>
      <c r="C243" s="138">
        <f>0</f>
        <v>0</v>
      </c>
      <c r="D243" s="138">
        <f t="shared" si="6"/>
        <v>50.32</v>
      </c>
      <c r="E243" s="140" t="str">
        <f t="shared" si="7"/>
        <v/>
      </c>
    </row>
    <row r="244" spans="1:5" x14ac:dyDescent="0.45">
      <c r="A244" s="136" t="s">
        <v>263</v>
      </c>
      <c r="B244" s="137"/>
      <c r="C244" s="137"/>
      <c r="D244" s="138">
        <f t="shared" si="6"/>
        <v>0</v>
      </c>
      <c r="E244" s="140" t="str">
        <f t="shared" si="7"/>
        <v/>
      </c>
    </row>
    <row r="245" spans="1:5" x14ac:dyDescent="0.45">
      <c r="A245" s="136" t="s">
        <v>264</v>
      </c>
      <c r="B245" s="138">
        <f>33800.75</f>
        <v>33800.75</v>
      </c>
      <c r="C245" s="138">
        <f>35000</f>
        <v>35000</v>
      </c>
      <c r="D245" s="138">
        <f t="shared" si="6"/>
        <v>-1199.25</v>
      </c>
      <c r="E245" s="140">
        <f t="shared" si="7"/>
        <v>0.96573571428571425</v>
      </c>
    </row>
    <row r="246" spans="1:5" x14ac:dyDescent="0.45">
      <c r="A246" s="136" t="s">
        <v>439</v>
      </c>
      <c r="B246" s="137"/>
      <c r="C246" s="138">
        <f>0</f>
        <v>0</v>
      </c>
      <c r="D246" s="138">
        <f t="shared" si="6"/>
        <v>0</v>
      </c>
      <c r="E246" s="140" t="str">
        <f t="shared" si="7"/>
        <v/>
      </c>
    </row>
    <row r="247" spans="1:5" x14ac:dyDescent="0.45">
      <c r="A247" s="136" t="s">
        <v>265</v>
      </c>
      <c r="B247" s="139">
        <f>((B244)+(B245))+(B246)</f>
        <v>33800.75</v>
      </c>
      <c r="C247" s="139">
        <f>((C244)+(C245))+(C246)</f>
        <v>35000</v>
      </c>
      <c r="D247" s="139">
        <f t="shared" si="6"/>
        <v>-1199.25</v>
      </c>
      <c r="E247" s="141">
        <f t="shared" si="7"/>
        <v>0.96573571428571425</v>
      </c>
    </row>
    <row r="248" spans="1:5" x14ac:dyDescent="0.45">
      <c r="A248" s="136" t="s">
        <v>266</v>
      </c>
      <c r="B248" s="138">
        <f>4222.35</f>
        <v>4222.3500000000004</v>
      </c>
      <c r="C248" s="138">
        <f>3860.9</f>
        <v>3860.9</v>
      </c>
      <c r="D248" s="138">
        <f t="shared" si="6"/>
        <v>361.45000000000027</v>
      </c>
      <c r="E248" s="140">
        <f t="shared" si="7"/>
        <v>1.0936180683260381</v>
      </c>
    </row>
    <row r="249" spans="1:5" x14ac:dyDescent="0.45">
      <c r="A249" s="136" t="s">
        <v>267</v>
      </c>
      <c r="B249" s="137"/>
      <c r="C249" s="138">
        <f>3750</f>
        <v>3750</v>
      </c>
      <c r="D249" s="138">
        <f t="shared" si="6"/>
        <v>-3750</v>
      </c>
      <c r="E249" s="140">
        <f t="shared" si="7"/>
        <v>0</v>
      </c>
    </row>
    <row r="250" spans="1:5" x14ac:dyDescent="0.45">
      <c r="A250" s="136" t="s">
        <v>268</v>
      </c>
      <c r="B250" s="139">
        <f>((((B242)+(B243))+(B247))+(B248))+(B249)</f>
        <v>38073.42</v>
      </c>
      <c r="C250" s="139">
        <f>((((C242)+(C243))+(C247))+(C248))+(C249)</f>
        <v>42610.9</v>
      </c>
      <c r="D250" s="139">
        <f t="shared" si="6"/>
        <v>-4537.4800000000032</v>
      </c>
      <c r="E250" s="141">
        <f t="shared" si="7"/>
        <v>0.89351363148865659</v>
      </c>
    </row>
    <row r="251" spans="1:5" x14ac:dyDescent="0.45">
      <c r="A251" s="136" t="s">
        <v>269</v>
      </c>
      <c r="B251" s="137"/>
      <c r="C251" s="137"/>
      <c r="D251" s="138">
        <f t="shared" si="6"/>
        <v>0</v>
      </c>
      <c r="E251" s="140" t="str">
        <f t="shared" si="7"/>
        <v/>
      </c>
    </row>
    <row r="252" spans="1:5" x14ac:dyDescent="0.45">
      <c r="A252" s="136" t="s">
        <v>302</v>
      </c>
      <c r="B252" s="138">
        <f>260</f>
        <v>260</v>
      </c>
      <c r="C252" s="138">
        <f>0</f>
        <v>0</v>
      </c>
      <c r="D252" s="138">
        <f t="shared" si="6"/>
        <v>260</v>
      </c>
      <c r="E252" s="140" t="str">
        <f t="shared" si="7"/>
        <v/>
      </c>
    </row>
    <row r="253" spans="1:5" x14ac:dyDescent="0.45">
      <c r="A253" s="136" t="s">
        <v>270</v>
      </c>
      <c r="B253" s="138">
        <f>6065.76</f>
        <v>6065.76</v>
      </c>
      <c r="C253" s="138">
        <f>8399.84</f>
        <v>8399.84</v>
      </c>
      <c r="D253" s="138">
        <f t="shared" si="6"/>
        <v>-2334.08</v>
      </c>
      <c r="E253" s="140">
        <f t="shared" si="7"/>
        <v>0.7221280405341054</v>
      </c>
    </row>
    <row r="254" spans="1:5" x14ac:dyDescent="0.45">
      <c r="A254" s="136" t="s">
        <v>271</v>
      </c>
      <c r="B254" s="138">
        <f>2948.6</f>
        <v>2948.6</v>
      </c>
      <c r="C254" s="138">
        <f>6152.6</f>
        <v>6152.6</v>
      </c>
      <c r="D254" s="138">
        <f t="shared" si="6"/>
        <v>-3204.0000000000005</v>
      </c>
      <c r="E254" s="140">
        <f t="shared" si="7"/>
        <v>0.47924454702077168</v>
      </c>
    </row>
    <row r="255" spans="1:5" x14ac:dyDescent="0.45">
      <c r="A255" s="136" t="s">
        <v>272</v>
      </c>
      <c r="B255" s="138">
        <f>8549.43</f>
        <v>8549.43</v>
      </c>
      <c r="C255" s="138">
        <f>9813.24</f>
        <v>9813.24</v>
      </c>
      <c r="D255" s="138">
        <f t="shared" ref="D255:D269" si="8">(B255)-(C255)</f>
        <v>-1263.8099999999995</v>
      </c>
      <c r="E255" s="140">
        <f t="shared" ref="E255:E269" si="9">IF(C255=0,"",(B255)/(C255))</f>
        <v>0.87121378871809929</v>
      </c>
    </row>
    <row r="256" spans="1:5" x14ac:dyDescent="0.45">
      <c r="A256" s="136" t="s">
        <v>273</v>
      </c>
      <c r="B256" s="138">
        <f>40</f>
        <v>40</v>
      </c>
      <c r="C256" s="138">
        <f>510</f>
        <v>510</v>
      </c>
      <c r="D256" s="138">
        <f t="shared" si="8"/>
        <v>-470</v>
      </c>
      <c r="E256" s="140">
        <f t="shared" si="9"/>
        <v>7.8431372549019607E-2</v>
      </c>
    </row>
    <row r="257" spans="1:5" x14ac:dyDescent="0.45">
      <c r="A257" s="136" t="s">
        <v>274</v>
      </c>
      <c r="B257" s="138">
        <f>22767.47</f>
        <v>22767.47</v>
      </c>
      <c r="C257" s="138">
        <f>25511.71</f>
        <v>25511.71</v>
      </c>
      <c r="D257" s="138">
        <f t="shared" si="8"/>
        <v>-2744.239999999998</v>
      </c>
      <c r="E257" s="140">
        <f t="shared" si="9"/>
        <v>0.89243214194579679</v>
      </c>
    </row>
    <row r="258" spans="1:5" x14ac:dyDescent="0.45">
      <c r="A258" s="136" t="s">
        <v>275</v>
      </c>
      <c r="B258" s="138">
        <f>52203.15</f>
        <v>52203.15</v>
      </c>
      <c r="C258" s="138">
        <f>50567.05</f>
        <v>50567.05</v>
      </c>
      <c r="D258" s="138">
        <f t="shared" si="8"/>
        <v>1636.0999999999985</v>
      </c>
      <c r="E258" s="140">
        <f t="shared" si="9"/>
        <v>1.0323550612503596</v>
      </c>
    </row>
    <row r="259" spans="1:5" x14ac:dyDescent="0.45">
      <c r="A259" s="136" t="s">
        <v>276</v>
      </c>
      <c r="B259" s="138">
        <f>1283.33</f>
        <v>1283.33</v>
      </c>
      <c r="C259" s="138">
        <f>5750.01</f>
        <v>5750.01</v>
      </c>
      <c r="D259" s="138">
        <f t="shared" si="8"/>
        <v>-4466.68</v>
      </c>
      <c r="E259" s="140">
        <f t="shared" si="9"/>
        <v>0.22318743793489051</v>
      </c>
    </row>
    <row r="260" spans="1:5" x14ac:dyDescent="0.45">
      <c r="A260" s="136" t="s">
        <v>277</v>
      </c>
      <c r="B260" s="138">
        <f>4181.8</f>
        <v>4181.8</v>
      </c>
      <c r="C260" s="138">
        <f>6332.05</f>
        <v>6332.05</v>
      </c>
      <c r="D260" s="138">
        <f t="shared" si="8"/>
        <v>-2150.25</v>
      </c>
      <c r="E260" s="140">
        <f t="shared" si="9"/>
        <v>0.66041803207492045</v>
      </c>
    </row>
    <row r="261" spans="1:5" x14ac:dyDescent="0.45">
      <c r="A261" s="136" t="s">
        <v>278</v>
      </c>
      <c r="B261" s="139">
        <f>(((((((((B251)+(B252))+(B253))+(B254))+(B255))+(B256))+(B257))+(B258))+(B259))+(B260)</f>
        <v>98299.540000000008</v>
      </c>
      <c r="C261" s="139">
        <f>(((((((((C251)+(C252))+(C253))+(C254))+(C255))+(C256))+(C257))+(C258))+(C259))+(C260)</f>
        <v>113036.5</v>
      </c>
      <c r="D261" s="139">
        <f t="shared" si="8"/>
        <v>-14736.959999999992</v>
      </c>
      <c r="E261" s="141">
        <f t="shared" si="9"/>
        <v>0.86962653656119937</v>
      </c>
    </row>
    <row r="262" spans="1:5" x14ac:dyDescent="0.45">
      <c r="A262" s="136" t="s">
        <v>279</v>
      </c>
      <c r="B262" s="137"/>
      <c r="C262" s="137"/>
      <c r="D262" s="138">
        <f t="shared" si="8"/>
        <v>0</v>
      </c>
      <c r="E262" s="140" t="str">
        <f t="shared" si="9"/>
        <v/>
      </c>
    </row>
    <row r="263" spans="1:5" x14ac:dyDescent="0.45">
      <c r="A263" s="136" t="s">
        <v>440</v>
      </c>
      <c r="B263" s="137"/>
      <c r="C263" s="138">
        <f>0</f>
        <v>0</v>
      </c>
      <c r="D263" s="138">
        <f t="shared" si="8"/>
        <v>0</v>
      </c>
      <c r="E263" s="140" t="str">
        <f t="shared" si="9"/>
        <v/>
      </c>
    </row>
    <row r="264" spans="1:5" x14ac:dyDescent="0.45">
      <c r="A264" s="136" t="s">
        <v>280</v>
      </c>
      <c r="B264" s="138">
        <f>19009.33</f>
        <v>19009.330000000002</v>
      </c>
      <c r="C264" s="138">
        <f>23246.41</f>
        <v>23246.41</v>
      </c>
      <c r="D264" s="138">
        <f t="shared" si="8"/>
        <v>-4237.0799999999981</v>
      </c>
      <c r="E264" s="140">
        <f t="shared" si="9"/>
        <v>0.8177318562307041</v>
      </c>
    </row>
    <row r="265" spans="1:5" x14ac:dyDescent="0.45">
      <c r="A265" s="136" t="s">
        <v>281</v>
      </c>
      <c r="B265" s="137"/>
      <c r="C265" s="138">
        <f>8700</f>
        <v>8700</v>
      </c>
      <c r="D265" s="138">
        <f t="shared" si="8"/>
        <v>-8700</v>
      </c>
      <c r="E265" s="140">
        <f t="shared" si="9"/>
        <v>0</v>
      </c>
    </row>
    <row r="266" spans="1:5" x14ac:dyDescent="0.45">
      <c r="A266" s="136" t="s">
        <v>282</v>
      </c>
      <c r="B266" s="139">
        <f>(((B262)+(B263))+(B264))+(B265)</f>
        <v>19009.330000000002</v>
      </c>
      <c r="C266" s="139">
        <f>(((C262)+(C263))+(C264))+(C265)</f>
        <v>31946.41</v>
      </c>
      <c r="D266" s="139">
        <f t="shared" si="8"/>
        <v>-12937.079999999998</v>
      </c>
      <c r="E266" s="141">
        <f t="shared" si="9"/>
        <v>0.59503806530999892</v>
      </c>
    </row>
    <row r="267" spans="1:5" x14ac:dyDescent="0.45">
      <c r="A267" s="136" t="s">
        <v>283</v>
      </c>
      <c r="B267" s="139">
        <f>(((((((((((B165)+(B207))+(B212))+(B220))+(B226))+(B231))+(B232))+(B236))+(B241))+(B250))+(B261))+(B266)</f>
        <v>2169004.34</v>
      </c>
      <c r="C267" s="139">
        <f>(((((((((((C165)+(C207))+(C212))+(C220))+(C226))+(C231))+(C232))+(C236))+(C241))+(C250))+(C261))+(C266)</f>
        <v>1872431.2899999998</v>
      </c>
      <c r="D267" s="139">
        <f t="shared" si="8"/>
        <v>296573.05000000005</v>
      </c>
      <c r="E267" s="141">
        <f t="shared" si="9"/>
        <v>1.1583892832724452</v>
      </c>
    </row>
    <row r="268" spans="1:5" x14ac:dyDescent="0.45">
      <c r="A268" s="136" t="s">
        <v>284</v>
      </c>
      <c r="B268" s="139">
        <f>(B164)+(B267)</f>
        <v>4396237.26</v>
      </c>
      <c r="C268" s="139">
        <f>(C164)+(C267)</f>
        <v>4106137.129999999</v>
      </c>
      <c r="D268" s="139">
        <f t="shared" si="8"/>
        <v>290100.13000000082</v>
      </c>
      <c r="E268" s="141">
        <f t="shared" si="9"/>
        <v>1.0706503754783272</v>
      </c>
    </row>
    <row r="269" spans="1:5" x14ac:dyDescent="0.45">
      <c r="A269" s="136" t="s">
        <v>285</v>
      </c>
      <c r="B269" s="139">
        <f>(B61)-(B268)</f>
        <v>-850977.75999999978</v>
      </c>
      <c r="C269" s="139">
        <f>(C61)-(C268)</f>
        <v>-396024.92999999877</v>
      </c>
      <c r="D269" s="139">
        <f t="shared" si="8"/>
        <v>-454952.83000000101</v>
      </c>
      <c r="E269" s="141">
        <f t="shared" si="9"/>
        <v>2.1487984607433739</v>
      </c>
    </row>
    <row r="270" spans="1:5" x14ac:dyDescent="0.45">
      <c r="A270" s="136" t="s">
        <v>286</v>
      </c>
      <c r="B270" s="137"/>
      <c r="C270" s="137"/>
      <c r="D270" s="137"/>
      <c r="E270" s="137"/>
    </row>
    <row r="271" spans="1:5" x14ac:dyDescent="0.45">
      <c r="A271" s="136" t="s">
        <v>287</v>
      </c>
      <c r="B271" s="137"/>
      <c r="C271" s="137"/>
      <c r="D271" s="138">
        <f t="shared" ref="D271:D280" si="10">(B271)-(C271)</f>
        <v>0</v>
      </c>
      <c r="E271" s="140" t="str">
        <f t="shared" ref="E271:E280" si="11">IF(C271=0,"",(B271)/(C271))</f>
        <v/>
      </c>
    </row>
    <row r="272" spans="1:5" x14ac:dyDescent="0.45">
      <c r="A272" s="136" t="s">
        <v>288</v>
      </c>
      <c r="B272" s="138">
        <f>2565.34</f>
        <v>2565.34</v>
      </c>
      <c r="C272" s="137"/>
      <c r="D272" s="138">
        <f t="shared" si="10"/>
        <v>2565.34</v>
      </c>
      <c r="E272" s="140" t="str">
        <f t="shared" si="11"/>
        <v/>
      </c>
    </row>
    <row r="273" spans="1:5" x14ac:dyDescent="0.45">
      <c r="A273" s="136" t="s">
        <v>289</v>
      </c>
      <c r="B273" s="138">
        <f>193702.03</f>
        <v>193702.03</v>
      </c>
      <c r="C273" s="138">
        <f>113206.47</f>
        <v>113206.47</v>
      </c>
      <c r="D273" s="138">
        <f t="shared" si="10"/>
        <v>80495.56</v>
      </c>
      <c r="E273" s="140">
        <f t="shared" si="11"/>
        <v>1.7110508789824468</v>
      </c>
    </row>
    <row r="274" spans="1:5" x14ac:dyDescent="0.45">
      <c r="A274" s="136" t="s">
        <v>290</v>
      </c>
      <c r="B274" s="138">
        <f>33521.09</f>
        <v>33521.089999999997</v>
      </c>
      <c r="C274" s="137"/>
      <c r="D274" s="138">
        <f t="shared" si="10"/>
        <v>33521.089999999997</v>
      </c>
      <c r="E274" s="140" t="str">
        <f t="shared" si="11"/>
        <v/>
      </c>
    </row>
    <row r="275" spans="1:5" x14ac:dyDescent="0.45">
      <c r="A275" s="136" t="s">
        <v>303</v>
      </c>
      <c r="B275" s="138">
        <f>-48226.48</f>
        <v>-48226.48</v>
      </c>
      <c r="C275" s="137"/>
      <c r="D275" s="138">
        <f t="shared" si="10"/>
        <v>-48226.48</v>
      </c>
      <c r="E275" s="140" t="str">
        <f t="shared" si="11"/>
        <v/>
      </c>
    </row>
    <row r="276" spans="1:5" x14ac:dyDescent="0.45">
      <c r="A276" s="136" t="s">
        <v>291</v>
      </c>
      <c r="B276" s="139">
        <f>((((B271)+(B272))+(B273))+(B274))+(B275)</f>
        <v>181561.97999999998</v>
      </c>
      <c r="C276" s="139">
        <f>((((C271)+(C272))+(C273))+(C274))+(C275)</f>
        <v>113206.47</v>
      </c>
      <c r="D276" s="139">
        <f t="shared" si="10"/>
        <v>68355.50999999998</v>
      </c>
      <c r="E276" s="141">
        <f t="shared" si="11"/>
        <v>1.6038127502783188</v>
      </c>
    </row>
    <row r="277" spans="1:5" x14ac:dyDescent="0.45">
      <c r="A277" s="136" t="s">
        <v>292</v>
      </c>
      <c r="B277" s="138">
        <f>-336.05</f>
        <v>-336.05</v>
      </c>
      <c r="C277" s="137"/>
      <c r="D277" s="138">
        <f t="shared" si="10"/>
        <v>-336.05</v>
      </c>
      <c r="E277" s="140" t="str">
        <f t="shared" si="11"/>
        <v/>
      </c>
    </row>
    <row r="278" spans="1:5" x14ac:dyDescent="0.45">
      <c r="A278" s="136" t="s">
        <v>293</v>
      </c>
      <c r="B278" s="139">
        <f>(B276)+(B277)</f>
        <v>181225.93</v>
      </c>
      <c r="C278" s="139">
        <f>(C276)+(C277)</f>
        <v>113206.47</v>
      </c>
      <c r="D278" s="139">
        <f t="shared" si="10"/>
        <v>68019.459999999992</v>
      </c>
      <c r="E278" s="141">
        <f t="shared" si="11"/>
        <v>1.6008442803666609</v>
      </c>
    </row>
    <row r="279" spans="1:5" x14ac:dyDescent="0.45">
      <c r="A279" s="136" t="s">
        <v>294</v>
      </c>
      <c r="B279" s="139">
        <f>(B278)-(0)</f>
        <v>181225.93</v>
      </c>
      <c r="C279" s="139">
        <f>(C278)-(0)</f>
        <v>113206.47</v>
      </c>
      <c r="D279" s="139">
        <f t="shared" si="10"/>
        <v>68019.459999999992</v>
      </c>
      <c r="E279" s="141">
        <f t="shared" si="11"/>
        <v>1.6008442803666609</v>
      </c>
    </row>
    <row r="280" spans="1:5" x14ac:dyDescent="0.45">
      <c r="A280" s="136" t="s">
        <v>295</v>
      </c>
      <c r="B280" s="139">
        <f>(B269)+(B279)</f>
        <v>-669751.82999999984</v>
      </c>
      <c r="C280" s="139">
        <f>(C269)+(C279)</f>
        <v>-282818.4599999988</v>
      </c>
      <c r="D280" s="139">
        <f t="shared" si="10"/>
        <v>-386933.37000000104</v>
      </c>
      <c r="E280" s="141">
        <f t="shared" si="11"/>
        <v>2.3681333601774179</v>
      </c>
    </row>
    <row r="281" spans="1:5" x14ac:dyDescent="0.45">
      <c r="A281" s="136"/>
      <c r="B281" s="137"/>
      <c r="C281" s="137"/>
      <c r="D281" s="137"/>
      <c r="E281" s="137"/>
    </row>
    <row r="284" spans="1:5" x14ac:dyDescent="0.45">
      <c r="A284" s="153" t="s">
        <v>487</v>
      </c>
      <c r="B284" s="154"/>
      <c r="C284" s="154"/>
      <c r="D284" s="154"/>
      <c r="E284" s="154"/>
    </row>
  </sheetData>
  <mergeCells count="5">
    <mergeCell ref="A284:E284"/>
    <mergeCell ref="A1:E1"/>
    <mergeCell ref="A2:E2"/>
    <mergeCell ref="A3:E3"/>
    <mergeCell ref="B5:E5"/>
  </mergeCells>
  <pageMargins left="0.25" right="0.25" top="0.75" bottom="0.75" header="0.3" footer="0.3"/>
  <pageSetup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Summary</vt:lpstr>
      <vt:lpstr>Statement of Activity</vt:lpstr>
      <vt:lpstr>Prior Year</vt:lpstr>
      <vt:lpstr>Cash Flow</vt:lpstr>
      <vt:lpstr>Statement of Financial Position</vt:lpstr>
      <vt:lpstr>Budget</vt:lpstr>
      <vt:lpstr>Budget!Print_Area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Thorsberg</dc:creator>
  <cp:lastModifiedBy>Carola Bracco</cp:lastModifiedBy>
  <cp:lastPrinted>2025-05-06T21:11:43Z</cp:lastPrinted>
  <dcterms:created xsi:type="dcterms:W3CDTF">2024-04-30T18:57:35Z</dcterms:created>
  <dcterms:modified xsi:type="dcterms:W3CDTF">2025-05-10T09:07:29Z</dcterms:modified>
</cp:coreProperties>
</file>